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Documents\Multi Sports Club\accounts invoices etc\accounts reports 23 24\"/>
    </mc:Choice>
  </mc:AlternateContent>
  <xr:revisionPtr revIDLastSave="0" documentId="13_ncr:1_{3843172B-CC9F-4471-AB8F-0EB4984D700A}" xr6:coauthVersionLast="47" xr6:coauthVersionMax="47" xr10:uidLastSave="{00000000-0000-0000-0000-000000000000}"/>
  <bookViews>
    <workbookView xWindow="-120" yWindow="-120" windowWidth="29040" windowHeight="15720" xr2:uid="{39988F0D-6BBA-4391-B916-64B52933E129}"/>
  </bookViews>
  <sheets>
    <sheet name="Summary" sheetId="1" r:id="rId1"/>
  </sheets>
  <externalReferences>
    <externalReference r:id="rId2"/>
  </externalReferences>
  <definedNames>
    <definedName name="current_members_oct_14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C180" i="1"/>
  <c r="E181" i="1" s="1"/>
  <c r="E175" i="1"/>
  <c r="E176" i="1" s="1"/>
  <c r="D175" i="1"/>
  <c r="C174" i="1"/>
  <c r="C175" i="1" s="1"/>
  <c r="E172" i="1"/>
  <c r="E171" i="1"/>
  <c r="D171" i="1"/>
  <c r="C171" i="1"/>
  <c r="C170" i="1"/>
  <c r="B129" i="1"/>
  <c r="B128" i="1"/>
  <c r="D132" i="1" s="1"/>
  <c r="D126" i="1"/>
  <c r="B125" i="1"/>
  <c r="J122" i="1"/>
  <c r="B115" i="1"/>
  <c r="B111" i="1"/>
  <c r="B108" i="1"/>
  <c r="B107" i="1"/>
  <c r="B106" i="1"/>
  <c r="E106" i="1" s="1"/>
  <c r="D98" i="1"/>
  <c r="D97" i="1"/>
  <c r="K99" i="1" s="1"/>
  <c r="F95" i="1"/>
  <c r="B92" i="1"/>
  <c r="D91" i="1"/>
  <c r="D90" i="1"/>
  <c r="D89" i="1"/>
  <c r="D88" i="1"/>
  <c r="D87" i="1"/>
  <c r="D86" i="1"/>
  <c r="D85" i="1"/>
  <c r="B85" i="1"/>
  <c r="C93" i="1" s="1"/>
  <c r="G93" i="1" s="1"/>
  <c r="D84" i="1"/>
  <c r="D83" i="1"/>
  <c r="D82" i="1"/>
  <c r="D78" i="1"/>
  <c r="B78" i="1"/>
  <c r="B77" i="1"/>
  <c r="B76" i="1"/>
  <c r="D75" i="1"/>
  <c r="B75" i="1"/>
  <c r="B74" i="1"/>
  <c r="B73" i="1"/>
  <c r="B72" i="1"/>
  <c r="D71" i="1"/>
  <c r="B71" i="1"/>
  <c r="D70" i="1"/>
  <c r="B70" i="1"/>
  <c r="D69" i="1"/>
  <c r="B69" i="1"/>
  <c r="D68" i="1"/>
  <c r="B68" i="1"/>
  <c r="B67" i="1"/>
  <c r="D66" i="1"/>
  <c r="B66" i="1"/>
  <c r="D64" i="1"/>
  <c r="B64" i="1"/>
  <c r="D63" i="1"/>
  <c r="B63" i="1"/>
  <c r="B62" i="1"/>
  <c r="B61" i="1"/>
  <c r="D60" i="1"/>
  <c r="B60" i="1"/>
  <c r="B59" i="1"/>
  <c r="D58" i="1"/>
  <c r="D53" i="1"/>
  <c r="B53" i="1"/>
  <c r="D52" i="1"/>
  <c r="B51" i="1"/>
  <c r="D50" i="1"/>
  <c r="D49" i="1"/>
  <c r="B49" i="1"/>
  <c r="D46" i="1"/>
  <c r="D45" i="1"/>
  <c r="E47" i="1" s="1"/>
  <c r="H47" i="1" s="1"/>
  <c r="B45" i="1"/>
  <c r="C47" i="1" s="1"/>
  <c r="B42" i="1"/>
  <c r="D41" i="1"/>
  <c r="B41" i="1"/>
  <c r="B40" i="1"/>
  <c r="D39" i="1"/>
  <c r="E43" i="1" s="1"/>
  <c r="H43" i="1" s="1"/>
  <c r="B39" i="1"/>
  <c r="B36" i="1"/>
  <c r="D35" i="1"/>
  <c r="D34" i="1"/>
  <c r="D33" i="1"/>
  <c r="D32" i="1"/>
  <c r="B32" i="1"/>
  <c r="C30" i="1"/>
  <c r="G30" i="1" s="1"/>
  <c r="D28" i="1"/>
  <c r="D27" i="1"/>
  <c r="D26" i="1"/>
  <c r="D25" i="1"/>
  <c r="B24" i="1"/>
  <c r="I24" i="1" s="1"/>
  <c r="D23" i="1"/>
  <c r="D22" i="1"/>
  <c r="I21" i="1" s="1"/>
  <c r="B21" i="1"/>
  <c r="D18" i="1"/>
  <c r="D17" i="1"/>
  <c r="B16" i="1"/>
  <c r="C19" i="1" s="1"/>
  <c r="D15" i="1"/>
  <c r="D14" i="1"/>
  <c r="E19" i="1" s="1"/>
  <c r="H19" i="1" s="1"/>
  <c r="D11" i="1"/>
  <c r="E12" i="1" s="1"/>
  <c r="H12" i="1" s="1"/>
  <c r="B10" i="1"/>
  <c r="K12" i="1" s="1"/>
  <c r="C7" i="1"/>
  <c r="D6" i="1"/>
  <c r="H6" i="1" s="1"/>
  <c r="B5" i="1"/>
  <c r="K6" i="1" s="1"/>
  <c r="C56" i="1" l="1"/>
  <c r="E56" i="1"/>
  <c r="H56" i="1" s="1"/>
  <c r="C80" i="1"/>
  <c r="C37" i="1"/>
  <c r="E37" i="1"/>
  <c r="H37" i="1" s="1"/>
  <c r="E93" i="1"/>
  <c r="H93" i="1" s="1"/>
  <c r="E80" i="1"/>
  <c r="H80" i="1" s="1"/>
  <c r="C43" i="1"/>
  <c r="K56" i="1"/>
  <c r="G56" i="1"/>
  <c r="I56" i="1" s="1"/>
  <c r="J56" i="1" s="1"/>
  <c r="G37" i="1"/>
  <c r="I37" i="1" s="1"/>
  <c r="J37" i="1" s="1"/>
  <c r="K37" i="1"/>
  <c r="I93" i="1"/>
  <c r="J93" i="1" s="1"/>
  <c r="G43" i="1"/>
  <c r="I43" i="1" s="1"/>
  <c r="J43" i="1" s="1"/>
  <c r="K43" i="1"/>
  <c r="K19" i="1"/>
  <c r="G19" i="1"/>
  <c r="I19" i="1" s="1"/>
  <c r="J19" i="1" s="1"/>
  <c r="K80" i="1"/>
  <c r="G80" i="1"/>
  <c r="I80" i="1" s="1"/>
  <c r="J80" i="1" s="1"/>
  <c r="G47" i="1"/>
  <c r="I47" i="1" s="1"/>
  <c r="J47" i="1" s="1"/>
  <c r="K47" i="1"/>
  <c r="J123" i="1"/>
  <c r="J125" i="1" s="1"/>
  <c r="B94" i="1"/>
  <c r="E97" i="1" s="1"/>
  <c r="C12" i="1"/>
  <c r="G12" i="1" s="1"/>
  <c r="I12" i="1" s="1"/>
  <c r="J12" i="1" s="1"/>
  <c r="D94" i="1"/>
  <c r="E98" i="1" s="1"/>
  <c r="E30" i="1"/>
  <c r="H30" i="1" s="1"/>
  <c r="I30" i="1" s="1"/>
  <c r="J30" i="1" s="1"/>
  <c r="G6" i="1"/>
  <c r="D114" i="1"/>
  <c r="F180" i="1"/>
  <c r="D99" i="1"/>
  <c r="I96" i="1" s="1"/>
  <c r="K30" i="1" l="1"/>
  <c r="H95" i="1"/>
  <c r="C94" i="1"/>
  <c r="K93" i="1" s="1"/>
  <c r="D133" i="1"/>
  <c r="B119" i="1"/>
  <c r="I6" i="1"/>
  <c r="G95" i="1"/>
  <c r="J6" i="1" l="1"/>
  <c r="I95" i="1"/>
  <c r="I97" i="1" s="1"/>
  <c r="I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perrin</author>
  </authors>
  <commentList>
    <comment ref="K99" authorId="0" shapeId="0" xr:uid="{07DDF6AA-C7E1-4DE7-92EF-4FE3AB48EE66}">
      <text>
        <r>
          <rPr>
            <b/>
            <sz val="9"/>
            <color indexed="81"/>
            <rFont val="Tahoma"/>
            <family val="2"/>
          </rPr>
          <t>susan perrin:</t>
        </r>
        <r>
          <rPr>
            <sz val="9"/>
            <color indexed="81"/>
            <rFont val="Tahoma"/>
            <family val="2"/>
          </rPr>
          <t xml:space="preserve">
income - expenditure in ledgers
</t>
        </r>
      </text>
    </comment>
  </commentList>
</comments>
</file>

<file path=xl/sharedStrings.xml><?xml version="1.0" encoding="utf-8"?>
<sst xmlns="http://schemas.openxmlformats.org/spreadsheetml/2006/main" count="153" uniqueCount="136">
  <si>
    <t>Income and Expenditure Account 1 April 2023 to 31 March 2024</t>
  </si>
  <si>
    <t xml:space="preserve"> </t>
  </si>
  <si>
    <t>matches individual ledger?</t>
  </si>
  <si>
    <t>Income</t>
  </si>
  <si>
    <t>Expenditure</t>
  </si>
  <si>
    <t>Budget allocated</t>
  </si>
  <si>
    <t xml:space="preserve"> income</t>
  </si>
  <si>
    <t xml:space="preserve"> expenditure</t>
  </si>
  <si>
    <t>Balance</t>
  </si>
  <si>
    <t>actual difference inc and exp</t>
  </si>
  <si>
    <t>AQUAFIT</t>
  </si>
  <si>
    <t>Weekly fees</t>
  </si>
  <si>
    <t>Aquafit instructor/lifeguard/travel expenses</t>
  </si>
  <si>
    <t>TOTALS</t>
  </si>
  <si>
    <t>GYM SATURDAY</t>
  </si>
  <si>
    <t>venue hire</t>
  </si>
  <si>
    <t>FOOTBALL</t>
  </si>
  <si>
    <t>Friday football Venue hire</t>
  </si>
  <si>
    <t>Friday football Coach</t>
  </si>
  <si>
    <t>Friday football Fees</t>
  </si>
  <si>
    <t>Expenses</t>
  </si>
  <si>
    <t>equipment</t>
  </si>
  <si>
    <t>MULTI SPORTS</t>
  </si>
  <si>
    <t>Fees Sunday group 1</t>
  </si>
  <si>
    <t>Coaching costs  Sunday group 1</t>
  </si>
  <si>
    <t>Venue fees - Sunday  group 1</t>
  </si>
  <si>
    <t>Fees thursdays</t>
  </si>
  <si>
    <t>Coaching costs Thursday</t>
  </si>
  <si>
    <t>Venue fees - Thursday</t>
  </si>
  <si>
    <t>Volunteer expenses/training - multi sports</t>
  </si>
  <si>
    <t>M Sports equipment</t>
  </si>
  <si>
    <t>COMPASS DANCE GROUP MONDAYS</t>
  </si>
  <si>
    <t>Billy dance-athon</t>
  </si>
  <si>
    <t>Hire of hall</t>
  </si>
  <si>
    <t>Dance Tutor</t>
  </si>
  <si>
    <t>fees</t>
  </si>
  <si>
    <t>SATURDAY CRAFTS</t>
  </si>
  <si>
    <t>materials</t>
  </si>
  <si>
    <t>attendance fees</t>
  </si>
  <si>
    <t>refreshments</t>
  </si>
  <si>
    <t>QE2 centre Saturday activities grant</t>
  </si>
  <si>
    <t>ZOOM SATURDAY DANCE</t>
  </si>
  <si>
    <t>Saturday dance</t>
  </si>
  <si>
    <t>licence</t>
  </si>
  <si>
    <t>WEDNESDAY CLUB AT QE2</t>
  </si>
  <si>
    <t>Food and drink</t>
  </si>
  <si>
    <t>Entertainment</t>
  </si>
  <si>
    <t>entry</t>
  </si>
  <si>
    <t>Food HygieneTraining</t>
  </si>
  <si>
    <t>Venue hire</t>
  </si>
  <si>
    <t>Transfer to fundraising from weds club</t>
  </si>
  <si>
    <t>closure balance to EBR Mencap</t>
  </si>
  <si>
    <t>FUNDRAISING/SOCIAL EVENTS</t>
  </si>
  <si>
    <t>xmas chocs for volunteers</t>
  </si>
  <si>
    <t>Easy Fundraising</t>
  </si>
  <si>
    <t>local giving donations</t>
  </si>
  <si>
    <t>smile.amazon</t>
  </si>
  <si>
    <t>MEMBERSHIP DONATIONS</t>
  </si>
  <si>
    <t>Shrek Feb 2024</t>
  </si>
  <si>
    <t>Chitty chitty bang bang may 2024</t>
  </si>
  <si>
    <t xml:space="preserve">transfer from Weds club </t>
  </si>
  <si>
    <t>Balloon race xmas 2023</t>
  </si>
  <si>
    <t>Magic little grant</t>
  </si>
  <si>
    <t>QE2 tickets</t>
  </si>
  <si>
    <t>Benevity</t>
  </si>
  <si>
    <t>Bowling Feb 2024</t>
  </si>
  <si>
    <t>AGM/Scavenger hunt</t>
  </si>
  <si>
    <t>Matthew's run</t>
  </si>
  <si>
    <t>Brenda and Jim regular donation</t>
  </si>
  <si>
    <t>Gift aid Billy and Kate sponsored walk</t>
  </si>
  <si>
    <t>Christmas carol</t>
  </si>
  <si>
    <t>Phil Smith Soton marathon 2023 sponsorship</t>
  </si>
  <si>
    <t>Phil smith marathon sponsorship</t>
  </si>
  <si>
    <t>Snow White</t>
  </si>
  <si>
    <t>Rebecca donation</t>
  </si>
  <si>
    <t>ADMIN COSTS</t>
  </si>
  <si>
    <t>Postage,phone calls, admin, Stationery etc</t>
  </si>
  <si>
    <t>safety/covid costs</t>
  </si>
  <si>
    <t>training for committee</t>
  </si>
  <si>
    <t>Printer/cartridges/maintenance</t>
  </si>
  <si>
    <t>Royal mencap membership</t>
  </si>
  <si>
    <t>Internet</t>
  </si>
  <si>
    <t>online activities</t>
  </si>
  <si>
    <t>publicity costs</t>
  </si>
  <si>
    <t xml:space="preserve">Training  </t>
  </si>
  <si>
    <t>insurance</t>
  </si>
  <si>
    <t>Bank Interest</t>
  </si>
  <si>
    <t>GRAND TOTAL</t>
  </si>
  <si>
    <t>committed</t>
  </si>
  <si>
    <t>Opening balance 1 April 2023</t>
  </si>
  <si>
    <t>actual balance</t>
  </si>
  <si>
    <t>available</t>
  </si>
  <si>
    <t>Ring fenced totton underspend</t>
  </si>
  <si>
    <t>Closing balances 31 March 2024</t>
  </si>
  <si>
    <t>reserves 2023/24</t>
  </si>
  <si>
    <t>Reconciliation</t>
  </si>
  <si>
    <t>Bank statement current account starting balance 1/4/23</t>
  </si>
  <si>
    <t>Cheques written not on bank statement yet</t>
  </si>
  <si>
    <t>incoming payments not on statement</t>
  </si>
  <si>
    <t>online outgoing payments not on statement yet</t>
  </si>
  <si>
    <t>Starting bank balance adjusted</t>
  </si>
  <si>
    <t xml:space="preserve">Paid into current account </t>
  </si>
  <si>
    <t>online payments into current account</t>
  </si>
  <si>
    <t>Cheques not cashed, donated</t>
  </si>
  <si>
    <t>Paid out of current account - cheque</t>
  </si>
  <si>
    <t>Online payments out from current account</t>
  </si>
  <si>
    <t>transferred from  business account</t>
  </si>
  <si>
    <t>Closing balance current account should be</t>
  </si>
  <si>
    <t>Money not yet paid into account</t>
  </si>
  <si>
    <t>online incoming payments not on statement</t>
  </si>
  <si>
    <t>Adjusted closing bank balance agrees with statement</t>
  </si>
  <si>
    <t>inc</t>
  </si>
  <si>
    <t>Business account opening balance 1 April 2023</t>
  </si>
  <si>
    <t>Transferred to/from current account/payments in</t>
  </si>
  <si>
    <t>paid in direct to savings account</t>
  </si>
  <si>
    <t xml:space="preserve">Bus account interest </t>
  </si>
  <si>
    <t>Business account balance agrees with statement</t>
  </si>
  <si>
    <t>Cash held - opening balance 1 April 2022</t>
  </si>
  <si>
    <t>Add Cash retained from income</t>
  </si>
  <si>
    <t>.</t>
  </si>
  <si>
    <t>Less Cash paid out for expenses</t>
  </si>
  <si>
    <t>Less Cash banked</t>
  </si>
  <si>
    <t>Add cash withdrawn from bank</t>
  </si>
  <si>
    <t xml:space="preserve">Closing cash balance </t>
  </si>
  <si>
    <t>Total Bank account and cash</t>
  </si>
  <si>
    <t>1 hr</t>
  </si>
  <si>
    <t>2 hrs</t>
  </si>
  <si>
    <t>coach</t>
  </si>
  <si>
    <t>1.5 hr</t>
  </si>
  <si>
    <t>venue gym</t>
  </si>
  <si>
    <t>venue sports hall</t>
  </si>
  <si>
    <t>av attendance</t>
  </si>
  <si>
    <t>cost 4</t>
  </si>
  <si>
    <t>cost £6</t>
  </si>
  <si>
    <t>cost £5</t>
  </si>
  <si>
    <t>total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</si>
</sst>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F18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43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40" fontId="5" fillId="0" borderId="1" xfId="1" applyNumberFormat="1" applyFont="1" applyBorder="1"/>
    <xf numFmtId="40" fontId="5" fillId="0" borderId="2" xfId="1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wrapText="1"/>
    </xf>
    <xf numFmtId="0" fontId="0" fillId="0" borderId="1" xfId="7" applyFont="1" applyFill="1" applyBorder="1" applyAlignment="1">
      <alignment horizontal="left" indent="2"/>
    </xf>
    <xf numFmtId="164" fontId="1" fillId="0" borderId="1" xfId="7" applyNumberFormat="1" applyFill="1" applyBorder="1" applyAlignment="1">
      <alignment horizontal="right"/>
    </xf>
    <xf numFmtId="4" fontId="1" fillId="0" borderId="1" xfId="7" applyNumberFormat="1" applyFill="1" applyBorder="1" applyAlignment="1">
      <alignment horizontal="left"/>
    </xf>
    <xf numFmtId="164" fontId="6" fillId="11" borderId="2" xfId="0" applyNumberFormat="1" applyFont="1" applyFill="1" applyBorder="1"/>
    <xf numFmtId="0" fontId="5" fillId="11" borderId="0" xfId="0" applyFont="1" applyFill="1"/>
    <xf numFmtId="164" fontId="5" fillId="11" borderId="0" xfId="0" applyNumberFormat="1" applyFont="1" applyFill="1"/>
    <xf numFmtId="0" fontId="4" fillId="6" borderId="1" xfId="7" applyFont="1" applyBorder="1" applyAlignment="1">
      <alignment horizontal="left"/>
    </xf>
    <xf numFmtId="164" fontId="1" fillId="6" borderId="1" xfId="7" applyNumberFormat="1" applyBorder="1" applyAlignment="1">
      <alignment horizontal="right"/>
    </xf>
    <xf numFmtId="0" fontId="1" fillId="6" borderId="1" xfId="7" applyBorder="1" applyAlignment="1">
      <alignment horizontal="left"/>
    </xf>
    <xf numFmtId="164" fontId="5" fillId="0" borderId="0" xfId="0" applyNumberFormat="1" applyFont="1"/>
    <xf numFmtId="0" fontId="0" fillId="6" borderId="1" xfId="7" applyFont="1" applyBorder="1" applyAlignment="1">
      <alignment horizontal="left" indent="2"/>
    </xf>
    <xf numFmtId="0" fontId="1" fillId="6" borderId="1" xfId="7" applyBorder="1" applyAlignment="1">
      <alignment horizontal="left" indent="2"/>
    </xf>
    <xf numFmtId="164" fontId="2" fillId="2" borderId="1" xfId="2" applyNumberFormat="1" applyBorder="1"/>
    <xf numFmtId="0" fontId="0" fillId="0" borderId="1" xfId="7" applyFont="1" applyFill="1" applyBorder="1" applyAlignment="1">
      <alignment horizontal="left"/>
    </xf>
    <xf numFmtId="0" fontId="1" fillId="0" borderId="1" xfId="7" applyFill="1" applyBorder="1" applyAlignment="1">
      <alignment horizontal="left"/>
    </xf>
    <xf numFmtId="164" fontId="2" fillId="0" borderId="1" xfId="2" applyNumberFormat="1" applyFill="1" applyBorder="1"/>
    <xf numFmtId="0" fontId="4" fillId="12" borderId="1" xfId="7" applyFont="1" applyFill="1" applyBorder="1" applyAlignment="1">
      <alignment horizontal="left"/>
    </xf>
    <xf numFmtId="164" fontId="1" fillId="12" borderId="1" xfId="7" applyNumberFormat="1" applyFill="1" applyBorder="1" applyAlignment="1">
      <alignment horizontal="right"/>
    </xf>
    <xf numFmtId="0" fontId="1" fillId="12" borderId="1" xfId="7" applyFill="1" applyBorder="1" applyAlignment="1">
      <alignment horizontal="left"/>
    </xf>
    <xf numFmtId="0" fontId="0" fillId="12" borderId="1" xfId="7" applyFont="1" applyFill="1" applyBorder="1" applyAlignment="1">
      <alignment horizontal="left" indent="2"/>
    </xf>
    <xf numFmtId="0" fontId="4" fillId="13" borderId="1" xfId="8" applyFont="1" applyFill="1" applyBorder="1" applyAlignment="1">
      <alignment horizontal="left"/>
    </xf>
    <xf numFmtId="164" fontId="1" fillId="13" borderId="1" xfId="8" applyNumberFormat="1" applyFill="1" applyBorder="1"/>
    <xf numFmtId="164" fontId="0" fillId="13" borderId="1" xfId="8" applyNumberFormat="1" applyFont="1" applyFill="1" applyBorder="1"/>
    <xf numFmtId="0" fontId="1" fillId="13" borderId="1" xfId="8" applyFill="1" applyBorder="1" applyAlignment="1">
      <alignment horizontal="left" indent="2"/>
    </xf>
    <xf numFmtId="0" fontId="0" fillId="13" borderId="1" xfId="8" applyFont="1" applyFill="1" applyBorder="1" applyAlignment="1">
      <alignment horizontal="left" indent="2"/>
    </xf>
    <xf numFmtId="0" fontId="4" fillId="11" borderId="1" xfId="8" applyFont="1" applyFill="1" applyBorder="1" applyAlignment="1">
      <alignment horizontal="left"/>
    </xf>
    <xf numFmtId="40" fontId="4" fillId="11" borderId="1" xfId="8" applyNumberFormat="1" applyFont="1" applyFill="1" applyBorder="1"/>
    <xf numFmtId="164" fontId="4" fillId="11" borderId="1" xfId="8" applyNumberFormat="1" applyFont="1" applyFill="1" applyBorder="1"/>
    <xf numFmtId="164" fontId="4" fillId="11" borderId="2" xfId="8" applyNumberFormat="1" applyFont="1" applyFill="1" applyBorder="1"/>
    <xf numFmtId="164" fontId="6" fillId="0" borderId="1" xfId="0" applyNumberFormat="1" applyFont="1" applyBorder="1"/>
    <xf numFmtId="164" fontId="7" fillId="2" borderId="1" xfId="2" applyNumberFormat="1" applyFont="1" applyBorder="1"/>
    <xf numFmtId="0" fontId="6" fillId="11" borderId="0" xfId="0" applyFont="1" applyFill="1"/>
    <xf numFmtId="0" fontId="4" fillId="14" borderId="1" xfId="5" applyFont="1" applyFill="1" applyBorder="1"/>
    <xf numFmtId="164" fontId="1" fillId="14" borderId="1" xfId="5" applyNumberFormat="1" applyFill="1" applyBorder="1"/>
    <xf numFmtId="0" fontId="0" fillId="14" borderId="1" xfId="5" applyFont="1" applyFill="1" applyBorder="1" applyAlignment="1">
      <alignment horizontal="left"/>
    </xf>
    <xf numFmtId="164" fontId="5" fillId="0" borderId="2" xfId="0" applyNumberFormat="1" applyFont="1" applyBorder="1"/>
    <xf numFmtId="164" fontId="0" fillId="14" borderId="1" xfId="5" applyNumberFormat="1" applyFont="1" applyFill="1" applyBorder="1" applyAlignment="1">
      <alignment horizontal="left"/>
    </xf>
    <xf numFmtId="0" fontId="1" fillId="14" borderId="1" xfId="5" applyFill="1" applyBorder="1" applyAlignment="1">
      <alignment horizontal="left"/>
    </xf>
    <xf numFmtId="0" fontId="5" fillId="14" borderId="1" xfId="0" applyFont="1" applyFill="1" applyBorder="1" applyAlignment="1">
      <alignment wrapText="1"/>
    </xf>
    <xf numFmtId="0" fontId="0" fillId="14" borderId="1" xfId="6" applyFont="1" applyFill="1" applyBorder="1" applyAlignment="1">
      <alignment horizontal="left" indent="1"/>
    </xf>
    <xf numFmtId="0" fontId="4" fillId="11" borderId="1" xfId="5" applyFont="1" applyFill="1" applyBorder="1" applyAlignment="1">
      <alignment horizontal="left"/>
    </xf>
    <xf numFmtId="40" fontId="4" fillId="11" borderId="1" xfId="5" applyNumberFormat="1" applyFont="1" applyFill="1" applyBorder="1"/>
    <xf numFmtId="40" fontId="4" fillId="11" borderId="2" xfId="5" applyNumberFormat="1" applyFont="1" applyFill="1" applyBorder="1"/>
    <xf numFmtId="0" fontId="6" fillId="0" borderId="0" xfId="0" applyFont="1"/>
    <xf numFmtId="0" fontId="9" fillId="3" borderId="1" xfId="3" applyFont="1" applyBorder="1" applyAlignment="1">
      <alignment horizontal="left"/>
    </xf>
    <xf numFmtId="40" fontId="10" fillId="3" borderId="1" xfId="3" applyNumberFormat="1" applyFont="1" applyBorder="1"/>
    <xf numFmtId="0" fontId="10" fillId="3" borderId="1" xfId="3" applyFont="1" applyBorder="1" applyAlignment="1">
      <alignment horizontal="left" indent="2"/>
    </xf>
    <xf numFmtId="17" fontId="6" fillId="0" borderId="1" xfId="0" applyNumberFormat="1" applyFont="1" applyBorder="1" applyAlignment="1">
      <alignment horizontal="left"/>
    </xf>
    <xf numFmtId="40" fontId="6" fillId="0" borderId="1" xfId="1" applyNumberFormat="1" applyFont="1" applyBorder="1"/>
    <xf numFmtId="164" fontId="4" fillId="0" borderId="1" xfId="7" applyNumberFormat="1" applyFont="1" applyFill="1" applyBorder="1" applyAlignment="1">
      <alignment horizontal="right"/>
    </xf>
    <xf numFmtId="40" fontId="6" fillId="0" borderId="2" xfId="1" applyNumberFormat="1" applyFont="1" applyBorder="1"/>
    <xf numFmtId="0" fontId="4" fillId="15" borderId="1" xfId="10" applyFont="1" applyFill="1" applyBorder="1" applyAlignment="1">
      <alignment horizontal="left"/>
    </xf>
    <xf numFmtId="164" fontId="1" fillId="15" borderId="1" xfId="10" applyNumberFormat="1" applyFill="1" applyBorder="1"/>
    <xf numFmtId="40" fontId="1" fillId="15" borderId="1" xfId="10" applyNumberFormat="1" applyFill="1" applyBorder="1"/>
    <xf numFmtId="40" fontId="1" fillId="15" borderId="2" xfId="10" applyNumberFormat="1" applyFill="1" applyBorder="1"/>
    <xf numFmtId="0" fontId="0" fillId="15" borderId="1" xfId="10" applyFont="1" applyFill="1" applyBorder="1" applyAlignment="1">
      <alignment horizontal="left"/>
    </xf>
    <xf numFmtId="164" fontId="1" fillId="15" borderId="0" xfId="10" applyNumberFormat="1" applyFill="1" applyBorder="1"/>
    <xf numFmtId="0" fontId="1" fillId="0" borderId="1" xfId="10" applyFill="1" applyBorder="1"/>
    <xf numFmtId="164" fontId="1" fillId="0" borderId="2" xfId="10" applyNumberFormat="1" applyFill="1" applyBorder="1"/>
    <xf numFmtId="164" fontId="1" fillId="0" borderId="1" xfId="10" applyNumberFormat="1" applyFill="1" applyBorder="1"/>
    <xf numFmtId="164" fontId="6" fillId="16" borderId="1" xfId="0" applyNumberFormat="1" applyFont="1" applyFill="1" applyBorder="1" applyAlignment="1">
      <alignment wrapText="1"/>
    </xf>
    <xf numFmtId="164" fontId="5" fillId="16" borderId="1" xfId="0" applyNumberFormat="1" applyFont="1" applyFill="1" applyBorder="1" applyAlignment="1">
      <alignment wrapText="1"/>
    </xf>
    <xf numFmtId="0" fontId="1" fillId="0" borderId="1" xfId="10" applyFill="1" applyBorder="1" applyAlignment="1">
      <alignment horizontal="left"/>
    </xf>
    <xf numFmtId="40" fontId="1" fillId="0" borderId="1" xfId="10" applyNumberFormat="1" applyFill="1" applyBorder="1"/>
    <xf numFmtId="40" fontId="1" fillId="0" borderId="2" xfId="10" applyNumberFormat="1" applyFill="1" applyBorder="1"/>
    <xf numFmtId="0" fontId="4" fillId="17" borderId="1" xfId="10" applyFont="1" applyFill="1" applyBorder="1" applyAlignment="1">
      <alignment horizontal="left"/>
    </xf>
    <xf numFmtId="164" fontId="1" fillId="17" borderId="1" xfId="10" applyNumberFormat="1" applyFill="1" applyBorder="1"/>
    <xf numFmtId="40" fontId="1" fillId="17" borderId="1" xfId="10" applyNumberFormat="1" applyFill="1" applyBorder="1"/>
    <xf numFmtId="40" fontId="1" fillId="17" borderId="2" xfId="10" applyNumberFormat="1" applyFill="1" applyBorder="1"/>
    <xf numFmtId="0" fontId="1" fillId="17" borderId="1" xfId="10" applyFill="1" applyBorder="1" applyAlignment="1">
      <alignment horizontal="left"/>
    </xf>
    <xf numFmtId="164" fontId="1" fillId="17" borderId="2" xfId="10" applyNumberFormat="1" applyFill="1" applyBorder="1"/>
    <xf numFmtId="0" fontId="5" fillId="17" borderId="1" xfId="0" applyFont="1" applyFill="1" applyBorder="1"/>
    <xf numFmtId="17" fontId="4" fillId="5" borderId="1" xfId="6" applyNumberFormat="1" applyFont="1" applyBorder="1" applyAlignment="1">
      <alignment horizontal="left"/>
    </xf>
    <xf numFmtId="40" fontId="1" fillId="5" borderId="1" xfId="6" applyNumberFormat="1" applyBorder="1"/>
    <xf numFmtId="17" fontId="1" fillId="5" borderId="1" xfId="6" applyNumberFormat="1" applyBorder="1" applyAlignment="1">
      <alignment horizontal="left"/>
    </xf>
    <xf numFmtId="164" fontId="1" fillId="5" borderId="1" xfId="6" applyNumberFormat="1" applyBorder="1"/>
    <xf numFmtId="164" fontId="0" fillId="5" borderId="1" xfId="6" applyNumberFormat="1" applyFont="1" applyBorder="1"/>
    <xf numFmtId="17" fontId="0" fillId="5" borderId="1" xfId="6" applyNumberFormat="1" applyFont="1" applyBorder="1" applyAlignment="1">
      <alignment horizontal="left"/>
    </xf>
    <xf numFmtId="0" fontId="4" fillId="11" borderId="1" xfId="9" applyFont="1" applyFill="1" applyBorder="1" applyAlignment="1">
      <alignment horizontal="left"/>
    </xf>
    <xf numFmtId="164" fontId="4" fillId="11" borderId="1" xfId="9" applyNumberFormat="1" applyFont="1" applyFill="1" applyBorder="1"/>
    <xf numFmtId="164" fontId="4" fillId="11" borderId="2" xfId="9" applyNumberFormat="1" applyFont="1" applyFill="1" applyBorder="1"/>
    <xf numFmtId="0" fontId="4" fillId="18" borderId="1" xfId="11" applyFont="1" applyFill="1" applyBorder="1"/>
    <xf numFmtId="164" fontId="1" fillId="18" borderId="1" xfId="11" applyNumberFormat="1" applyFill="1" applyBorder="1"/>
    <xf numFmtId="0" fontId="1" fillId="18" borderId="1" xfId="11" applyFill="1" applyBorder="1" applyAlignment="1">
      <alignment horizontal="left" indent="1"/>
    </xf>
    <xf numFmtId="0" fontId="0" fillId="18" borderId="1" xfId="11" applyFont="1" applyFill="1" applyBorder="1" applyAlignment="1">
      <alignment horizontal="left" indent="1"/>
    </xf>
    <xf numFmtId="164" fontId="1" fillId="0" borderId="2" xfId="11" applyNumberFormat="1" applyFill="1" applyBorder="1"/>
    <xf numFmtId="164" fontId="1" fillId="0" borderId="1" xfId="11" applyNumberFormat="1" applyFill="1" applyBorder="1"/>
    <xf numFmtId="164" fontId="1" fillId="0" borderId="0" xfId="11" applyNumberFormat="1" applyFill="1"/>
    <xf numFmtId="164" fontId="4" fillId="0" borderId="0" xfId="11" applyNumberFormat="1" applyFont="1" applyFill="1"/>
    <xf numFmtId="164" fontId="1" fillId="0" borderId="0" xfId="11" applyNumberFormat="1" applyFill="1" applyBorder="1"/>
    <xf numFmtId="164" fontId="0" fillId="18" borderId="1" xfId="11" applyNumberFormat="1" applyFont="1" applyFill="1" applyBorder="1"/>
    <xf numFmtId="0" fontId="5" fillId="11" borderId="1" xfId="0" applyFont="1" applyFill="1" applyBorder="1"/>
    <xf numFmtId="0" fontId="4" fillId="11" borderId="1" xfId="11" applyFont="1" applyFill="1" applyBorder="1" applyAlignment="1">
      <alignment horizontal="left"/>
    </xf>
    <xf numFmtId="164" fontId="4" fillId="11" borderId="1" xfId="11" applyNumberFormat="1" applyFont="1" applyFill="1" applyBorder="1"/>
    <xf numFmtId="0" fontId="6" fillId="0" borderId="1" xfId="0" applyFont="1" applyBorder="1"/>
    <xf numFmtId="164" fontId="4" fillId="11" borderId="2" xfId="11" applyNumberFormat="1" applyFont="1" applyFill="1" applyBorder="1"/>
    <xf numFmtId="0" fontId="5" fillId="0" borderId="3" xfId="0" applyFont="1" applyBorder="1"/>
    <xf numFmtId="164" fontId="5" fillId="0" borderId="3" xfId="0" applyNumberFormat="1" applyFont="1" applyBorder="1"/>
    <xf numFmtId="164" fontId="6" fillId="0" borderId="2" xfId="0" applyNumberFormat="1" applyFont="1" applyBorder="1"/>
    <xf numFmtId="164" fontId="10" fillId="0" borderId="0" xfId="2" applyNumberFormat="1" applyFont="1" applyFill="1" applyAlignment="1">
      <alignment wrapText="1"/>
    </xf>
    <xf numFmtId="164" fontId="5" fillId="0" borderId="4" xfId="0" applyNumberFormat="1" applyFont="1" applyBorder="1"/>
    <xf numFmtId="164" fontId="5" fillId="0" borderId="5" xfId="0" applyNumberFormat="1" applyFont="1" applyBorder="1"/>
    <xf numFmtId="0" fontId="0" fillId="0" borderId="6" xfId="0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0" fontId="0" fillId="0" borderId="10" xfId="0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40" fontId="5" fillId="0" borderId="0" xfId="1" applyNumberFormat="1" applyFont="1"/>
    <xf numFmtId="0" fontId="1" fillId="11" borderId="13" xfId="7" applyFill="1" applyBorder="1"/>
    <xf numFmtId="164" fontId="5" fillId="0" borderId="13" xfId="0" applyNumberFormat="1" applyFont="1" applyBorder="1"/>
    <xf numFmtId="0" fontId="1" fillId="0" borderId="1" xfId="5" applyFill="1" applyBorder="1"/>
    <xf numFmtId="164" fontId="1" fillId="10" borderId="1" xfId="11" applyNumberFormat="1" applyBorder="1"/>
    <xf numFmtId="0" fontId="1" fillId="10" borderId="1" xfId="11" applyBorder="1" applyAlignment="1">
      <alignment horizontal="left"/>
    </xf>
    <xf numFmtId="0" fontId="1" fillId="0" borderId="1" xfId="10" applyFill="1" applyBorder="1" applyAlignment="1">
      <alignment horizontal="left" indent="3"/>
    </xf>
    <xf numFmtId="2" fontId="0" fillId="0" borderId="1" xfId="0" applyNumberFormat="1" applyBorder="1"/>
    <xf numFmtId="10" fontId="5" fillId="0" borderId="0" xfId="0" applyNumberFormat="1" applyFont="1"/>
    <xf numFmtId="164" fontId="10" fillId="0" borderId="1" xfId="4" applyNumberFormat="1" applyFont="1" applyBorder="1"/>
    <xf numFmtId="0" fontId="0" fillId="0" borderId="1" xfId="10" applyFont="1" applyFill="1" applyBorder="1" applyAlignment="1">
      <alignment horizontal="left" indent="3"/>
    </xf>
    <xf numFmtId="0" fontId="0" fillId="7" borderId="1" xfId="8" applyFont="1" applyBorder="1"/>
    <xf numFmtId="164" fontId="1" fillId="7" borderId="1" xfId="8" applyNumberFormat="1" applyBorder="1"/>
    <xf numFmtId="0" fontId="1" fillId="7" borderId="1" xfId="8" applyBorder="1"/>
    <xf numFmtId="0" fontId="1" fillId="7" borderId="1" xfId="8" applyBorder="1" applyAlignment="1">
      <alignment horizontal="left"/>
    </xf>
    <xf numFmtId="0" fontId="0" fillId="8" borderId="1" xfId="9" applyFont="1" applyBorder="1" applyAlignment="1">
      <alignment horizontal="left"/>
    </xf>
    <xf numFmtId="164" fontId="1" fillId="8" borderId="1" xfId="9" applyNumberFormat="1" applyBorder="1"/>
    <xf numFmtId="0" fontId="1" fillId="8" borderId="1" xfId="9" applyBorder="1" applyAlignment="1">
      <alignment horizontal="left" indent="3"/>
    </xf>
    <xf numFmtId="0" fontId="1" fillId="8" borderId="1" xfId="9" applyBorder="1" applyAlignment="1">
      <alignment horizontal="left"/>
    </xf>
    <xf numFmtId="6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indent="1"/>
    </xf>
    <xf numFmtId="6" fontId="11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2">
    <cellStyle name="20% - Accent1" xfId="5" builtinId="30"/>
    <cellStyle name="20% - Accent2" xfId="7" builtinId="34"/>
    <cellStyle name="20% - Accent3" xfId="8" builtinId="38"/>
    <cellStyle name="20% - Accent4" xfId="9" builtinId="42"/>
    <cellStyle name="20% - Accent5" xfId="10" builtinId="46"/>
    <cellStyle name="20% - Accent6" xfId="11" builtinId="50"/>
    <cellStyle name="40% - Accent1" xfId="6" builtinId="31"/>
    <cellStyle name="Currency" xfId="1" builtinId="4"/>
    <cellStyle name="Explanatory Text" xfId="4" builtinId="53"/>
    <cellStyle name="Good" xfId="2" builtinId="26"/>
    <cellStyle name="Neutral" xfId="3" builtinId="28"/>
    <cellStyle name="Normal" xfId="0" builtinId="0"/>
  </cellStyles>
  <dxfs count="4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san\Documents\Multi%20Sports%20Club\accounts%20invoices%20etc\accounts%20reports%2023%2024\Report%20march%202024.xlsx" TargetMode="External"/><Relationship Id="rId1" Type="http://schemas.openxmlformats.org/officeDocument/2006/relationships/externalLinkPath" Target="Report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NOTES"/>
      <sheetName val="all income"/>
      <sheetName val="all expenditure"/>
      <sheetName val="admin costs ledger"/>
      <sheetName val="gym ledger"/>
      <sheetName val="gym register"/>
      <sheetName val="Zoom"/>
      <sheetName val="saturday zoom"/>
      <sheetName val="Saturday crafts"/>
      <sheetName val="Craft register"/>
      <sheetName val="fundraising social ledger"/>
      <sheetName val="football ledger"/>
      <sheetName val="football register"/>
      <sheetName val="aqua ledger"/>
      <sheetName val="aqua register"/>
      <sheetName val="ms ledger"/>
      <sheetName val="ms thurs register"/>
      <sheetName val="ms sun register"/>
      <sheetName val="compass ledger"/>
      <sheetName val="compass register"/>
      <sheetName val="magic grantwend"/>
      <sheetName val="memberships"/>
      <sheetName val="weds club ledger"/>
      <sheetName val="weds club attendance"/>
      <sheetName val="weds feedback"/>
      <sheetName val="bingo calls"/>
    </sheetNames>
    <sheetDataSet>
      <sheetData sheetId="0"/>
      <sheetData sheetId="1"/>
      <sheetData sheetId="2">
        <row r="324">
          <cell r="E324">
            <v>215.17</v>
          </cell>
          <cell r="F324">
            <v>11580.37</v>
          </cell>
          <cell r="G324">
            <v>1190</v>
          </cell>
          <cell r="H324">
            <v>72</v>
          </cell>
          <cell r="I324">
            <v>1095</v>
          </cell>
          <cell r="J324">
            <v>1535</v>
          </cell>
          <cell r="K324">
            <v>230</v>
          </cell>
          <cell r="L324">
            <v>1754.69</v>
          </cell>
          <cell r="M324">
            <v>636.13</v>
          </cell>
          <cell r="O324">
            <v>822.9</v>
          </cell>
          <cell r="T324">
            <v>500</v>
          </cell>
          <cell r="U324">
            <v>375</v>
          </cell>
          <cell r="Z324">
            <v>46.8</v>
          </cell>
          <cell r="AA324">
            <v>0</v>
          </cell>
          <cell r="AB324">
            <v>60</v>
          </cell>
          <cell r="AD324">
            <v>498.28</v>
          </cell>
          <cell r="AE324">
            <v>0</v>
          </cell>
          <cell r="AF324">
            <v>36.299999999999997</v>
          </cell>
          <cell r="AG324">
            <v>5</v>
          </cell>
          <cell r="AH324">
            <v>175.1</v>
          </cell>
          <cell r="AJ324">
            <v>26</v>
          </cell>
          <cell r="AK324">
            <v>0</v>
          </cell>
          <cell r="AL324">
            <v>367.92</v>
          </cell>
          <cell r="AO324">
            <v>172.48</v>
          </cell>
          <cell r="AP324">
            <v>0</v>
          </cell>
          <cell r="AQ324">
            <v>56.24</v>
          </cell>
          <cell r="AR324">
            <v>485.21</v>
          </cell>
          <cell r="AS324">
            <v>61.75</v>
          </cell>
          <cell r="AT324">
            <v>100</v>
          </cell>
          <cell r="AU324">
            <v>0</v>
          </cell>
          <cell r="AV324">
            <v>444.25</v>
          </cell>
          <cell r="AW324">
            <v>100</v>
          </cell>
          <cell r="AX324">
            <v>12.22</v>
          </cell>
          <cell r="AY324">
            <v>430.5</v>
          </cell>
          <cell r="AZ324">
            <v>79.02</v>
          </cell>
          <cell r="BA324">
            <v>0</v>
          </cell>
        </row>
      </sheetData>
      <sheetData sheetId="3">
        <row r="115">
          <cell r="E115">
            <v>196.17</v>
          </cell>
          <cell r="G115">
            <v>900</v>
          </cell>
          <cell r="H115">
            <v>775</v>
          </cell>
          <cell r="I115">
            <v>0</v>
          </cell>
          <cell r="J115">
            <v>0</v>
          </cell>
          <cell r="N115">
            <v>175</v>
          </cell>
          <cell r="O115">
            <v>1348</v>
          </cell>
          <cell r="R115">
            <v>1075</v>
          </cell>
          <cell r="U115">
            <v>0</v>
          </cell>
          <cell r="V115">
            <v>325</v>
          </cell>
          <cell r="W115">
            <v>281.60000000000002</v>
          </cell>
          <cell r="X115">
            <v>830</v>
          </cell>
          <cell r="Y115">
            <v>588.20000000000005</v>
          </cell>
          <cell r="AA115">
            <v>0</v>
          </cell>
          <cell r="AB115">
            <v>208.75</v>
          </cell>
          <cell r="AC115">
            <v>17</v>
          </cell>
          <cell r="AD115">
            <v>1464.3</v>
          </cell>
          <cell r="AE115">
            <v>2.74</v>
          </cell>
          <cell r="AF115">
            <v>284.3</v>
          </cell>
          <cell r="AG115">
            <v>3.96</v>
          </cell>
          <cell r="AI115">
            <v>50</v>
          </cell>
          <cell r="AJ115">
            <v>0</v>
          </cell>
          <cell r="AK115">
            <v>0</v>
          </cell>
          <cell r="AX115">
            <v>0</v>
          </cell>
          <cell r="AY115">
            <v>59.07</v>
          </cell>
          <cell r="AZ115">
            <v>0</v>
          </cell>
          <cell r="BE115">
            <v>444.25</v>
          </cell>
          <cell r="BF115">
            <v>5</v>
          </cell>
          <cell r="BH115">
            <v>429</v>
          </cell>
          <cell r="BI115">
            <v>100</v>
          </cell>
          <cell r="BJ115">
            <v>123.5</v>
          </cell>
          <cell r="BL115">
            <v>50.1</v>
          </cell>
          <cell r="BP115">
            <v>0</v>
          </cell>
          <cell r="BR115">
            <v>46.25</v>
          </cell>
          <cell r="BS115">
            <v>0</v>
          </cell>
          <cell r="BT115">
            <v>34.020000000000003</v>
          </cell>
          <cell r="BU115">
            <v>189.77</v>
          </cell>
          <cell r="BV115">
            <v>143.88</v>
          </cell>
          <cell r="BW115">
            <v>0</v>
          </cell>
          <cell r="BX115">
            <v>0</v>
          </cell>
          <cell r="BZ115">
            <v>190.4</v>
          </cell>
          <cell r="CA115">
            <v>60</v>
          </cell>
        </row>
        <row r="117">
          <cell r="D117">
            <v>11024.48</v>
          </cell>
        </row>
      </sheetData>
      <sheetData sheetId="4">
        <row r="25">
          <cell r="O25">
            <v>0</v>
          </cell>
          <cell r="U25">
            <v>214.7</v>
          </cell>
        </row>
      </sheetData>
      <sheetData sheetId="5">
        <row r="16">
          <cell r="H16">
            <v>397</v>
          </cell>
        </row>
      </sheetData>
      <sheetData sheetId="6"/>
      <sheetData sheetId="7">
        <row r="137">
          <cell r="P137">
            <v>227.9</v>
          </cell>
        </row>
      </sheetData>
      <sheetData sheetId="8"/>
      <sheetData sheetId="9">
        <row r="27">
          <cell r="G27">
            <v>0</v>
          </cell>
          <cell r="M27">
            <v>21.59</v>
          </cell>
          <cell r="N27">
            <v>372.98</v>
          </cell>
          <cell r="V27">
            <v>480.43</v>
          </cell>
        </row>
      </sheetData>
      <sheetData sheetId="10"/>
      <sheetData sheetId="11">
        <row r="84">
          <cell r="AJ84">
            <v>56.24</v>
          </cell>
        </row>
        <row r="85">
          <cell r="AU85">
            <v>1916.67</v>
          </cell>
        </row>
      </sheetData>
      <sheetData sheetId="12">
        <row r="83">
          <cell r="J83">
            <v>-35</v>
          </cell>
        </row>
      </sheetData>
      <sheetData sheetId="13"/>
      <sheetData sheetId="14">
        <row r="58">
          <cell r="J58">
            <v>597</v>
          </cell>
        </row>
      </sheetData>
      <sheetData sheetId="15"/>
      <sheetData sheetId="16">
        <row r="113">
          <cell r="P113">
            <v>331.45</v>
          </cell>
        </row>
      </sheetData>
      <sheetData sheetId="17"/>
      <sheetData sheetId="18"/>
      <sheetData sheetId="19">
        <row r="128">
          <cell r="K128">
            <v>1258.6099999999999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F39F-7EC9-47E0-B7DD-381A9D3CF7C3}">
  <sheetPr>
    <pageSetUpPr fitToPage="1"/>
  </sheetPr>
  <dimension ref="A1:FM181"/>
  <sheetViews>
    <sheetView tabSelected="1" zoomScale="85" zoomScaleNormal="85" zoomScaleSheetLayoutView="100" workbookViewId="0">
      <pane ySplit="2" topLeftCell="A3" activePane="bottomLeft" state="frozen"/>
      <selection pane="bottomLeft" activeCell="E134" sqref="E134"/>
    </sheetView>
  </sheetViews>
  <sheetFormatPr defaultColWidth="31.85546875" defaultRowHeight="12.75" x14ac:dyDescent="0.2"/>
  <cols>
    <col min="1" max="1" width="51.42578125" style="3" customWidth="1"/>
    <col min="2" max="2" width="13.42578125" style="118" customWidth="1"/>
    <col min="3" max="3" width="13.28515625" style="118" customWidth="1"/>
    <col min="4" max="4" width="14" style="118" customWidth="1"/>
    <col min="5" max="5" width="13.5703125" style="118" customWidth="1"/>
    <col min="6" max="6" width="15.85546875" style="3" customWidth="1"/>
    <col min="7" max="7" width="13.85546875" style="3" customWidth="1"/>
    <col min="8" max="8" width="16.28515625" style="3" customWidth="1"/>
    <col min="9" max="9" width="16.5703125" style="3" customWidth="1"/>
    <col min="10" max="10" width="23.28515625" style="3" hidden="1" customWidth="1"/>
    <col min="11" max="11" width="14.28515625" style="3" customWidth="1"/>
    <col min="12" max="12" width="10.7109375" style="3" customWidth="1"/>
    <col min="13" max="13" width="8.7109375" style="3" customWidth="1"/>
    <col min="14" max="16384" width="31.85546875" style="3"/>
  </cols>
  <sheetData>
    <row r="1" spans="1:11" x14ac:dyDescent="0.2">
      <c r="A1" s="1" t="s">
        <v>0</v>
      </c>
      <c r="B1" s="1"/>
      <c r="C1" s="1"/>
      <c r="D1" s="1"/>
      <c r="E1" s="2"/>
      <c r="F1" s="2"/>
      <c r="G1" s="141" t="s">
        <v>1</v>
      </c>
      <c r="H1" s="141"/>
      <c r="I1" s="141"/>
      <c r="J1" s="3" t="s">
        <v>2</v>
      </c>
    </row>
    <row r="2" spans="1:11" ht="38.25" x14ac:dyDescent="0.2">
      <c r="A2" s="4"/>
      <c r="B2" s="5" t="s">
        <v>3</v>
      </c>
      <c r="C2" s="5" t="s">
        <v>1</v>
      </c>
      <c r="D2" s="5" t="s">
        <v>4</v>
      </c>
      <c r="E2" s="6"/>
      <c r="F2" s="2" t="s">
        <v>5</v>
      </c>
      <c r="G2" s="1" t="s">
        <v>6</v>
      </c>
      <c r="H2" s="1" t="s">
        <v>7</v>
      </c>
      <c r="I2" s="7" t="s">
        <v>8</v>
      </c>
      <c r="K2" s="8" t="s">
        <v>9</v>
      </c>
    </row>
    <row r="3" spans="1:11" ht="15" x14ac:dyDescent="0.25">
      <c r="A3" s="9"/>
      <c r="B3" s="10"/>
      <c r="C3" s="10"/>
      <c r="D3" s="10"/>
      <c r="E3" s="11"/>
      <c r="F3" s="12"/>
      <c r="G3" s="7"/>
      <c r="H3" s="7"/>
      <c r="I3" s="7"/>
      <c r="J3" s="13"/>
      <c r="K3" s="14"/>
    </row>
    <row r="4" spans="1:11" ht="15" x14ac:dyDescent="0.25">
      <c r="A4" s="15" t="s">
        <v>10</v>
      </c>
      <c r="B4" s="16"/>
      <c r="C4" s="16"/>
      <c r="D4" s="16"/>
      <c r="E4" s="17"/>
      <c r="F4" s="12"/>
      <c r="G4" s="1"/>
      <c r="H4" s="7"/>
      <c r="I4" s="1"/>
      <c r="K4" s="18"/>
    </row>
    <row r="5" spans="1:11" ht="15" x14ac:dyDescent="0.25">
      <c r="A5" s="19" t="s">
        <v>11</v>
      </c>
      <c r="B5" s="16">
        <f>'[1]all income'!$I$324</f>
        <v>1095</v>
      </c>
      <c r="C5" s="16"/>
      <c r="D5" s="16"/>
      <c r="E5" s="17"/>
      <c r="F5" s="12"/>
      <c r="G5" s="1"/>
      <c r="H5" s="7"/>
      <c r="I5" s="1"/>
      <c r="K5" s="18"/>
    </row>
    <row r="6" spans="1:11" ht="15" x14ac:dyDescent="0.25">
      <c r="A6" s="20" t="s">
        <v>12</v>
      </c>
      <c r="B6" s="16"/>
      <c r="C6" s="16"/>
      <c r="D6" s="16">
        <f>'[1]all expenditure'!$O$115</f>
        <v>1348</v>
      </c>
      <c r="E6" s="17"/>
      <c r="F6" s="12">
        <v>850</v>
      </c>
      <c r="G6" s="7">
        <f>B5</f>
        <v>1095</v>
      </c>
      <c r="H6" s="7">
        <f>D6</f>
        <v>1348</v>
      </c>
      <c r="I6" s="21">
        <f>+F6+G6-H6</f>
        <v>597</v>
      </c>
      <c r="J6" s="13" t="str">
        <f>IF(I6='[1]aqua ledger'!J58,"correct","does not agree")</f>
        <v>correct</v>
      </c>
      <c r="K6" s="14">
        <f>+B5-D6</f>
        <v>-253</v>
      </c>
    </row>
    <row r="7" spans="1:11" ht="15" x14ac:dyDescent="0.25">
      <c r="A7" s="22" t="s">
        <v>13</v>
      </c>
      <c r="B7" s="10"/>
      <c r="C7" s="10">
        <f>$B$5</f>
        <v>1095</v>
      </c>
      <c r="D7" s="10"/>
      <c r="E7" s="23"/>
      <c r="F7" s="12"/>
      <c r="G7" s="7"/>
      <c r="H7" s="7"/>
      <c r="I7" s="24"/>
      <c r="K7" s="18"/>
    </row>
    <row r="8" spans="1:11" ht="15" x14ac:dyDescent="0.25">
      <c r="A8" s="22"/>
      <c r="B8" s="10"/>
      <c r="C8" s="10"/>
      <c r="D8" s="10"/>
      <c r="E8" s="23"/>
      <c r="F8" s="12"/>
      <c r="G8" s="7"/>
      <c r="H8" s="7"/>
      <c r="I8" s="24"/>
      <c r="K8" s="18"/>
    </row>
    <row r="9" spans="1:11" ht="15" x14ac:dyDescent="0.25">
      <c r="A9" s="25" t="s">
        <v>14</v>
      </c>
      <c r="B9" s="26"/>
      <c r="C9" s="26"/>
      <c r="D9" s="26"/>
      <c r="E9" s="27"/>
      <c r="F9" s="12"/>
      <c r="G9" s="7"/>
      <c r="H9" s="7"/>
      <c r="I9" s="24"/>
      <c r="K9" s="18"/>
    </row>
    <row r="10" spans="1:11" ht="15" x14ac:dyDescent="0.25">
      <c r="A10" s="28" t="s">
        <v>11</v>
      </c>
      <c r="B10" s="26">
        <f>'[1]all income'!$H$324</f>
        <v>72</v>
      </c>
      <c r="C10" s="26"/>
      <c r="D10" s="26"/>
      <c r="E10" s="27"/>
      <c r="F10" s="12"/>
      <c r="G10" s="7"/>
      <c r="H10" s="7"/>
      <c r="I10" s="24"/>
      <c r="K10" s="18"/>
    </row>
    <row r="11" spans="1:11" ht="15" x14ac:dyDescent="0.25">
      <c r="A11" s="28" t="s">
        <v>15</v>
      </c>
      <c r="B11" s="26"/>
      <c r="C11" s="26"/>
      <c r="D11" s="26">
        <f>'[1]all expenditure'!$N$115</f>
        <v>175</v>
      </c>
      <c r="E11" s="27"/>
      <c r="F11" s="12"/>
      <c r="G11" s="7"/>
      <c r="H11" s="7"/>
      <c r="I11" s="24"/>
      <c r="K11" s="18"/>
    </row>
    <row r="12" spans="1:11" ht="15" x14ac:dyDescent="0.25">
      <c r="A12" s="22" t="s">
        <v>13</v>
      </c>
      <c r="B12" s="3"/>
      <c r="C12" s="10">
        <f>SUM(B10:B11)</f>
        <v>72</v>
      </c>
      <c r="D12" s="3"/>
      <c r="E12" s="10">
        <f>SUM(D10:D11)</f>
        <v>175</v>
      </c>
      <c r="F12" s="12">
        <v>500</v>
      </c>
      <c r="G12" s="7">
        <f>SUM(C12)</f>
        <v>72</v>
      </c>
      <c r="H12" s="7">
        <f>SUM(E12)</f>
        <v>175</v>
      </c>
      <c r="I12" s="21">
        <f>+F12+G12-H12</f>
        <v>397</v>
      </c>
      <c r="J12" s="13" t="str">
        <f>IF(I12='[1]gym ledger'!H16,"Correct","does not agree")</f>
        <v>Correct</v>
      </c>
      <c r="K12" s="14">
        <f>+B10-D11</f>
        <v>-103</v>
      </c>
    </row>
    <row r="13" spans="1:11" ht="15" x14ac:dyDescent="0.25">
      <c r="A13" s="29" t="s">
        <v>16</v>
      </c>
      <c r="B13" s="30"/>
      <c r="C13" s="30"/>
      <c r="D13" s="30"/>
      <c r="E13" s="31"/>
      <c r="F13" s="2"/>
      <c r="G13" s="1"/>
      <c r="H13" s="7"/>
      <c r="I13" s="1"/>
    </row>
    <row r="14" spans="1:11" ht="15" x14ac:dyDescent="0.25">
      <c r="A14" s="32" t="s">
        <v>17</v>
      </c>
      <c r="B14" s="30"/>
      <c r="C14" s="30"/>
      <c r="D14" s="30">
        <f>'[1]all expenditure'!$G$115</f>
        <v>900</v>
      </c>
      <c r="E14" s="30"/>
      <c r="F14" s="2"/>
      <c r="G14" s="1"/>
      <c r="H14" s="7"/>
      <c r="I14" s="1"/>
    </row>
    <row r="15" spans="1:11" ht="15" x14ac:dyDescent="0.25">
      <c r="A15" s="32" t="s">
        <v>18</v>
      </c>
      <c r="B15" s="30"/>
      <c r="C15" s="30"/>
      <c r="D15" s="30">
        <f>'[1]all expenditure'!$H$115</f>
        <v>775</v>
      </c>
      <c r="E15" s="30"/>
      <c r="F15" s="2"/>
      <c r="G15" s="1"/>
      <c r="H15" s="7"/>
      <c r="I15" s="1"/>
    </row>
    <row r="16" spans="1:11" ht="15" x14ac:dyDescent="0.25">
      <c r="A16" s="32" t="s">
        <v>19</v>
      </c>
      <c r="B16" s="30">
        <f>'[1]all income'!$G$324</f>
        <v>1190</v>
      </c>
      <c r="C16" s="30"/>
      <c r="D16" s="30"/>
      <c r="E16" s="30"/>
      <c r="F16" s="2"/>
      <c r="G16" s="1"/>
      <c r="H16" s="7"/>
      <c r="I16" s="1"/>
    </row>
    <row r="17" spans="1:11" ht="15" x14ac:dyDescent="0.25">
      <c r="A17" s="32" t="s">
        <v>20</v>
      </c>
      <c r="B17" s="30"/>
      <c r="C17" s="30"/>
      <c r="D17" s="30">
        <f>'[1]all expenditure'!$I$115</f>
        <v>0</v>
      </c>
      <c r="E17" s="30"/>
      <c r="F17" s="2"/>
      <c r="G17" s="1"/>
      <c r="H17" s="7"/>
      <c r="I17" s="1"/>
    </row>
    <row r="18" spans="1:11" ht="15" x14ac:dyDescent="0.25">
      <c r="A18" s="33" t="s">
        <v>21</v>
      </c>
      <c r="B18" s="30"/>
      <c r="C18" s="30"/>
      <c r="D18" s="30">
        <f>'[1]all expenditure'!$J$115</f>
        <v>0</v>
      </c>
      <c r="E18" s="30"/>
      <c r="F18" s="2"/>
      <c r="G18" s="1"/>
      <c r="H18" s="7"/>
      <c r="I18" s="1"/>
    </row>
    <row r="19" spans="1:11" s="40" customFormat="1" ht="15" x14ac:dyDescent="0.25">
      <c r="A19" s="34" t="s">
        <v>13</v>
      </c>
      <c r="B19" s="35"/>
      <c r="C19" s="35">
        <f>SUM(B13:B18)</f>
        <v>1190</v>
      </c>
      <c r="D19" s="36"/>
      <c r="E19" s="37">
        <f>SUM(D13:D18)</f>
        <v>1675</v>
      </c>
      <c r="F19" s="12">
        <v>450</v>
      </c>
      <c r="G19" s="38">
        <f>SUM(C19)</f>
        <v>1190</v>
      </c>
      <c r="H19" s="38">
        <f>SUM(E19)</f>
        <v>1675</v>
      </c>
      <c r="I19" s="39">
        <f>+F19+G19-H19</f>
        <v>-35</v>
      </c>
      <c r="J19" s="40" t="str">
        <f>IF(I19='[1]football ledger'!J83,"correct","does not agree")</f>
        <v>correct</v>
      </c>
      <c r="K19" s="14">
        <f>+C19-E19</f>
        <v>-485</v>
      </c>
    </row>
    <row r="20" spans="1:11" ht="15" x14ac:dyDescent="0.25">
      <c r="A20" s="41" t="s">
        <v>22</v>
      </c>
      <c r="B20" s="42"/>
      <c r="C20" s="42"/>
      <c r="D20" s="42"/>
      <c r="E20" s="42"/>
      <c r="F20" s="2"/>
      <c r="G20" s="1"/>
      <c r="H20" s="7"/>
      <c r="I20" s="1"/>
    </row>
    <row r="21" spans="1:11" ht="15" x14ac:dyDescent="0.25">
      <c r="A21" s="43" t="s">
        <v>23</v>
      </c>
      <c r="B21" s="42">
        <f>'[1]all income'!$K$324</f>
        <v>230</v>
      </c>
      <c r="C21" s="42"/>
      <c r="D21" s="42"/>
      <c r="E21" s="42"/>
      <c r="F21" s="44"/>
      <c r="G21" s="1"/>
      <c r="H21" s="7"/>
      <c r="I21" s="7">
        <f>+B21-D22-D23</f>
        <v>-376.6</v>
      </c>
    </row>
    <row r="22" spans="1:11" ht="15" x14ac:dyDescent="0.25">
      <c r="A22" s="45" t="s">
        <v>24</v>
      </c>
      <c r="B22" s="42"/>
      <c r="C22" s="42"/>
      <c r="D22" s="42">
        <f>'[1]all expenditure'!$V$115</f>
        <v>325</v>
      </c>
      <c r="E22" s="42"/>
      <c r="F22" s="2"/>
      <c r="G22" s="1"/>
      <c r="H22" s="7"/>
      <c r="I22" s="1"/>
    </row>
    <row r="23" spans="1:11" ht="15" x14ac:dyDescent="0.25">
      <c r="A23" s="43" t="s">
        <v>25</v>
      </c>
      <c r="B23" s="42"/>
      <c r="C23" s="42"/>
      <c r="D23" s="42">
        <f>'[1]all expenditure'!$W$115</f>
        <v>281.60000000000002</v>
      </c>
      <c r="E23" s="42"/>
      <c r="F23" s="44"/>
      <c r="G23" s="1"/>
      <c r="H23" s="7"/>
      <c r="I23" s="1"/>
    </row>
    <row r="24" spans="1:11" ht="15" x14ac:dyDescent="0.25">
      <c r="A24" s="43" t="s">
        <v>26</v>
      </c>
      <c r="B24" s="42">
        <f>'[1]all income'!$J$324</f>
        <v>1535</v>
      </c>
      <c r="C24" s="42"/>
      <c r="D24" s="42"/>
      <c r="E24" s="42"/>
      <c r="F24" s="44"/>
      <c r="G24" s="1"/>
      <c r="H24" s="7"/>
      <c r="I24" s="7">
        <f>+B24-D25-D26</f>
        <v>116.79999999999995</v>
      </c>
    </row>
    <row r="25" spans="1:11" ht="15" x14ac:dyDescent="0.25">
      <c r="A25" s="43" t="s">
        <v>27</v>
      </c>
      <c r="B25" s="42"/>
      <c r="C25" s="42"/>
      <c r="D25" s="42">
        <f>'[1]all expenditure'!$X$115</f>
        <v>830</v>
      </c>
      <c r="E25" s="42"/>
      <c r="F25" s="2"/>
      <c r="G25" s="1"/>
      <c r="H25" s="7"/>
      <c r="I25" s="1"/>
    </row>
    <row r="26" spans="1:11" ht="15" x14ac:dyDescent="0.25">
      <c r="A26" s="46" t="s">
        <v>28</v>
      </c>
      <c r="B26" s="42"/>
      <c r="C26" s="42"/>
      <c r="D26" s="42">
        <f>'[1]all expenditure'!$Y$115</f>
        <v>588.20000000000005</v>
      </c>
      <c r="E26" s="42"/>
      <c r="F26" s="2"/>
      <c r="G26" s="1"/>
      <c r="H26" s="7"/>
      <c r="I26" s="1"/>
    </row>
    <row r="27" spans="1:11" ht="15" x14ac:dyDescent="0.25">
      <c r="A27" s="46" t="s">
        <v>29</v>
      </c>
      <c r="B27" s="42"/>
      <c r="C27" s="42"/>
      <c r="D27" s="42">
        <f>'[1]all expenditure'!$AA$115</f>
        <v>0</v>
      </c>
      <c r="E27" s="42"/>
      <c r="F27" s="2"/>
      <c r="G27" s="1"/>
      <c r="H27" s="7"/>
      <c r="I27" s="1"/>
    </row>
    <row r="28" spans="1:11" ht="15" x14ac:dyDescent="0.25">
      <c r="A28" s="47" t="s">
        <v>30</v>
      </c>
      <c r="B28" s="42"/>
      <c r="C28" s="42"/>
      <c r="D28" s="42">
        <f>'[1]all expenditure'!$AB$115</f>
        <v>208.75</v>
      </c>
      <c r="E28" s="42"/>
      <c r="F28" s="44"/>
      <c r="G28" s="1"/>
      <c r="H28" s="7"/>
      <c r="I28" s="1"/>
    </row>
    <row r="29" spans="1:11" ht="15" x14ac:dyDescent="0.25">
      <c r="A29" s="48"/>
      <c r="B29" s="42"/>
      <c r="C29" s="42"/>
      <c r="D29" s="42"/>
      <c r="E29" s="42"/>
      <c r="F29" s="44"/>
      <c r="G29" s="7"/>
      <c r="H29" s="7"/>
      <c r="I29" s="7"/>
    </row>
    <row r="30" spans="1:11" s="52" customFormat="1" ht="15" x14ac:dyDescent="0.25">
      <c r="A30" s="49" t="s">
        <v>13</v>
      </c>
      <c r="B30" s="50"/>
      <c r="C30" s="50">
        <f>SUM(B21:B29)</f>
        <v>1765</v>
      </c>
      <c r="D30" s="50"/>
      <c r="E30" s="51">
        <f>SUM(D21:D29)</f>
        <v>2233.5500000000002</v>
      </c>
      <c r="F30" s="12">
        <v>800</v>
      </c>
      <c r="G30" s="38">
        <f>SUM(C30)</f>
        <v>1765</v>
      </c>
      <c r="H30" s="38">
        <f>SUM(E30)</f>
        <v>2233.5500000000002</v>
      </c>
      <c r="I30" s="39">
        <f>+F30+G30-H30</f>
        <v>331.44999999999982</v>
      </c>
      <c r="J30" s="40" t="str">
        <f>IF(I30='[1]ms ledger'!P113,"correct","does not agree")</f>
        <v>correct</v>
      </c>
      <c r="K30" s="14">
        <f>+C30-E30</f>
        <v>-468.55000000000018</v>
      </c>
    </row>
    <row r="31" spans="1:11" ht="15" x14ac:dyDescent="0.25">
      <c r="A31" s="53" t="s">
        <v>31</v>
      </c>
      <c r="B31" s="54"/>
      <c r="C31" s="54"/>
      <c r="D31" s="54"/>
      <c r="E31" s="54"/>
      <c r="F31" s="44"/>
      <c r="G31" s="7"/>
      <c r="H31" s="7"/>
      <c r="I31" s="1"/>
    </row>
    <row r="32" spans="1:11" ht="15" x14ac:dyDescent="0.25">
      <c r="A32" s="55" t="s">
        <v>32</v>
      </c>
      <c r="B32" s="54">
        <f>'[1]all income'!$M$324</f>
        <v>636.13</v>
      </c>
      <c r="C32" s="54"/>
      <c r="D32" s="54">
        <f>'[1]all expenditure'!$AC$115</f>
        <v>17</v>
      </c>
      <c r="E32" s="54"/>
      <c r="F32" s="44"/>
      <c r="G32" s="44"/>
      <c r="H32" s="44"/>
      <c r="I32" s="44"/>
    </row>
    <row r="33" spans="1:11" ht="15" x14ac:dyDescent="0.25">
      <c r="A33" s="55" t="s">
        <v>33</v>
      </c>
      <c r="B33" s="54"/>
      <c r="C33" s="54"/>
      <c r="D33" s="54">
        <f>'[1]all expenditure'!$AF$115</f>
        <v>284.3</v>
      </c>
      <c r="E33" s="54"/>
      <c r="F33" s="44"/>
      <c r="G33" s="7"/>
      <c r="H33" s="7"/>
      <c r="I33" s="1"/>
    </row>
    <row r="34" spans="1:11" ht="15" x14ac:dyDescent="0.25">
      <c r="A34" s="55" t="s">
        <v>21</v>
      </c>
      <c r="B34" s="54"/>
      <c r="C34" s="54"/>
      <c r="D34" s="54">
        <f>'[1]all expenditure'!$AE$115</f>
        <v>2.74</v>
      </c>
      <c r="E34" s="54"/>
      <c r="F34" s="44"/>
      <c r="G34" s="7"/>
      <c r="H34" s="7"/>
      <c r="I34" s="1"/>
    </row>
    <row r="35" spans="1:11" ht="15" x14ac:dyDescent="0.25">
      <c r="A35" s="55" t="s">
        <v>34</v>
      </c>
      <c r="B35" s="54"/>
      <c r="C35" s="54"/>
      <c r="D35" s="54">
        <f>'[1]all expenditure'!$AD$115</f>
        <v>1464.3</v>
      </c>
      <c r="E35" s="54"/>
      <c r="F35" s="44"/>
      <c r="G35" s="7"/>
      <c r="H35" s="7"/>
      <c r="I35" s="1"/>
    </row>
    <row r="36" spans="1:11" ht="15" x14ac:dyDescent="0.25">
      <c r="A36" s="55" t="s">
        <v>35</v>
      </c>
      <c r="B36" s="54">
        <f>'[1]all income'!$L$324</f>
        <v>1754.69</v>
      </c>
      <c r="C36" s="54"/>
      <c r="D36" s="54"/>
      <c r="E36" s="54"/>
      <c r="F36" s="44"/>
      <c r="G36" s="7"/>
      <c r="H36" s="7"/>
      <c r="I36" s="1"/>
    </row>
    <row r="37" spans="1:11" s="52" customFormat="1" ht="15" x14ac:dyDescent="0.25">
      <c r="A37" s="56" t="s">
        <v>13</v>
      </c>
      <c r="B37" s="57"/>
      <c r="C37" s="58">
        <f>SUM(B31:B36)</f>
        <v>2390.8200000000002</v>
      </c>
      <c r="D37" s="57"/>
      <c r="E37" s="59">
        <f>SUM(D31:D36)</f>
        <v>1768.34</v>
      </c>
      <c r="F37" s="12">
        <v>636.13</v>
      </c>
      <c r="G37" s="38">
        <f>SUM(C37)</f>
        <v>2390.8200000000002</v>
      </c>
      <c r="H37" s="38">
        <f>SUM(E37)</f>
        <v>1768.34</v>
      </c>
      <c r="I37" s="39">
        <f>+F37+G37-H37</f>
        <v>1258.6100000000004</v>
      </c>
      <c r="J37" s="52" t="str">
        <f>IF(I37='[1]compass ledger'!K128,"correct","does not agree")</f>
        <v>correct</v>
      </c>
      <c r="K37" s="14">
        <f>+C37-E37</f>
        <v>622.48000000000025</v>
      </c>
    </row>
    <row r="38" spans="1:11" ht="15.75" customHeight="1" x14ac:dyDescent="0.25">
      <c r="A38" s="60" t="s">
        <v>36</v>
      </c>
      <c r="B38" s="61"/>
      <c r="C38" s="61"/>
      <c r="D38" s="62"/>
      <c r="E38" s="63"/>
      <c r="F38" s="2"/>
      <c r="G38" s="1"/>
      <c r="H38" s="7"/>
      <c r="I38" s="1"/>
    </row>
    <row r="39" spans="1:11" ht="15" x14ac:dyDescent="0.25">
      <c r="A39" s="64" t="s">
        <v>37</v>
      </c>
      <c r="B39" s="61">
        <f>'[1]Saturday crafts'!$G$27</f>
        <v>0</v>
      </c>
      <c r="C39" s="61"/>
      <c r="D39" s="61">
        <f>'[1]Saturday crafts'!$N$27</f>
        <v>372.98</v>
      </c>
      <c r="E39" s="63"/>
      <c r="F39" s="2"/>
      <c r="G39" s="1"/>
      <c r="H39" s="7"/>
      <c r="I39" s="1"/>
    </row>
    <row r="40" spans="1:11" ht="15" x14ac:dyDescent="0.25">
      <c r="A40" s="64" t="s">
        <v>38</v>
      </c>
      <c r="B40" s="61">
        <f>'[1]all income'!$U$324</f>
        <v>375</v>
      </c>
      <c r="C40" s="61"/>
      <c r="D40" s="61"/>
      <c r="E40" s="63"/>
      <c r="F40" s="2"/>
      <c r="G40" s="1"/>
      <c r="H40" s="7"/>
      <c r="I40" s="1"/>
    </row>
    <row r="41" spans="1:11" ht="15" x14ac:dyDescent="0.25">
      <c r="A41" s="64" t="s">
        <v>39</v>
      </c>
      <c r="B41" s="61">
        <f>'[1]Saturday crafts'!$G$27</f>
        <v>0</v>
      </c>
      <c r="C41" s="61"/>
      <c r="D41" s="65">
        <f>'[1]Saturday crafts'!$M$27</f>
        <v>21.59</v>
      </c>
      <c r="E41" s="63"/>
      <c r="F41" s="2"/>
      <c r="G41" s="1"/>
      <c r="H41" s="7"/>
      <c r="I41" s="1"/>
    </row>
    <row r="42" spans="1:11" ht="15" x14ac:dyDescent="0.25">
      <c r="A42" s="64" t="s">
        <v>40</v>
      </c>
      <c r="B42" s="61">
        <f>'[1]all income'!$T$324</f>
        <v>500</v>
      </c>
      <c r="C42" s="61"/>
      <c r="D42" s="61"/>
      <c r="E42" s="63"/>
      <c r="F42" s="2"/>
      <c r="G42" s="1"/>
      <c r="H42" s="7"/>
      <c r="I42" s="1"/>
    </row>
    <row r="43" spans="1:11" s="52" customFormat="1" ht="15" x14ac:dyDescent="0.25">
      <c r="A43" s="66" t="s">
        <v>13</v>
      </c>
      <c r="B43" s="66"/>
      <c r="C43" s="67">
        <f>SUM(B38:B42)</f>
        <v>875</v>
      </c>
      <c r="D43" s="68"/>
      <c r="E43" s="67">
        <f>SUM(D38:D42)</f>
        <v>394.57</v>
      </c>
      <c r="F43" s="12">
        <v>0</v>
      </c>
      <c r="G43" s="38">
        <f>SUM(C43)</f>
        <v>875</v>
      </c>
      <c r="H43" s="38">
        <f>SUM(E43)</f>
        <v>394.57</v>
      </c>
      <c r="I43" s="39">
        <f>+F43+G43-H43</f>
        <v>480.43</v>
      </c>
      <c r="J43" s="52" t="str">
        <f>IF(I43='[1]Saturday crafts'!V27,"correct","does not agree")</f>
        <v>correct</v>
      </c>
      <c r="K43" s="14">
        <f>+C43-E43</f>
        <v>480.43</v>
      </c>
    </row>
    <row r="44" spans="1:11" x14ac:dyDescent="0.2">
      <c r="A44" s="69" t="s">
        <v>41</v>
      </c>
      <c r="B44" s="70"/>
      <c r="C44" s="70"/>
      <c r="D44" s="70"/>
      <c r="E44" s="70"/>
      <c r="F44" s="2"/>
      <c r="G44" s="1"/>
      <c r="H44" s="7"/>
      <c r="I44" s="1"/>
    </row>
    <row r="45" spans="1:11" x14ac:dyDescent="0.2">
      <c r="A45" s="70" t="s">
        <v>42</v>
      </c>
      <c r="B45" s="70">
        <f>'[1]all income'!$O$324</f>
        <v>822.9</v>
      </c>
      <c r="C45" s="70"/>
      <c r="D45" s="70">
        <f>'[1]all expenditure'!$R$115</f>
        <v>1075</v>
      </c>
      <c r="E45" s="70"/>
      <c r="F45" s="2"/>
      <c r="G45" s="1"/>
      <c r="H45" s="7"/>
      <c r="I45" s="1"/>
    </row>
    <row r="46" spans="1:11" x14ac:dyDescent="0.2">
      <c r="A46" s="70" t="s">
        <v>43</v>
      </c>
      <c r="B46" s="70"/>
      <c r="C46" s="70"/>
      <c r="D46" s="70">
        <f>'[1]all expenditure'!$U$115</f>
        <v>0</v>
      </c>
      <c r="E46" s="70"/>
      <c r="F46" s="2"/>
      <c r="G46" s="1"/>
      <c r="H46" s="7"/>
      <c r="I46" s="1"/>
    </row>
    <row r="47" spans="1:11" ht="15" x14ac:dyDescent="0.25">
      <c r="A47" s="71" t="s">
        <v>13</v>
      </c>
      <c r="B47" s="68"/>
      <c r="C47" s="68">
        <f>SUM(B45:B46)</f>
        <v>822.9</v>
      </c>
      <c r="D47" s="72"/>
      <c r="E47" s="73">
        <f>SUM(D45:D46)</f>
        <v>1075</v>
      </c>
      <c r="F47" s="44">
        <v>480</v>
      </c>
      <c r="G47" s="7">
        <f>$C$47</f>
        <v>822.9</v>
      </c>
      <c r="H47" s="7">
        <f>+E47</f>
        <v>1075</v>
      </c>
      <c r="I47" s="39">
        <f>+F47+G47-H47</f>
        <v>227.90000000000009</v>
      </c>
      <c r="J47" s="52" t="str">
        <f>IF(I47=[1]Zoom!P137,"correct","does not agree")</f>
        <v>correct</v>
      </c>
      <c r="K47" s="14">
        <f>+C47-E47</f>
        <v>-252.10000000000002</v>
      </c>
    </row>
    <row r="48" spans="1:11" ht="15" x14ac:dyDescent="0.25">
      <c r="A48" s="74" t="s">
        <v>44</v>
      </c>
      <c r="B48" s="75"/>
      <c r="C48" s="75"/>
      <c r="D48" s="76"/>
      <c r="E48" s="77"/>
      <c r="F48" s="2"/>
      <c r="G48" s="1"/>
      <c r="H48" s="7"/>
      <c r="I48" s="1"/>
    </row>
    <row r="49" spans="1:11" ht="15" x14ac:dyDescent="0.25">
      <c r="A49" s="78" t="s">
        <v>45</v>
      </c>
      <c r="B49" s="75">
        <f>'[1]all income'!$Z$324</f>
        <v>46.8</v>
      </c>
      <c r="C49" s="75"/>
      <c r="D49" s="76">
        <f>'[1]all expenditure'!$AG$115</f>
        <v>3.96</v>
      </c>
      <c r="E49" s="77"/>
      <c r="F49" s="44"/>
      <c r="G49" s="7"/>
      <c r="H49" s="7"/>
      <c r="I49" s="7"/>
    </row>
    <row r="50" spans="1:11" ht="15" x14ac:dyDescent="0.25">
      <c r="A50" s="78" t="s">
        <v>46</v>
      </c>
      <c r="B50" s="75"/>
      <c r="C50" s="79"/>
      <c r="D50" s="76">
        <f>'[1]all expenditure'!$AK$115</f>
        <v>0</v>
      </c>
      <c r="E50" s="77"/>
      <c r="F50" s="44"/>
      <c r="G50" s="7"/>
      <c r="H50" s="7"/>
      <c r="I50" s="7"/>
    </row>
    <row r="51" spans="1:11" ht="15" x14ac:dyDescent="0.25">
      <c r="A51" s="80" t="s">
        <v>47</v>
      </c>
      <c r="B51" s="75">
        <f>'[1]all income'!$AB$324</f>
        <v>60</v>
      </c>
      <c r="C51" s="79"/>
      <c r="D51" s="76"/>
      <c r="E51" s="77"/>
      <c r="F51" s="44"/>
      <c r="G51" s="7"/>
      <c r="H51" s="7"/>
      <c r="I51" s="7"/>
    </row>
    <row r="52" spans="1:11" ht="15" x14ac:dyDescent="0.25">
      <c r="A52" s="80" t="s">
        <v>48</v>
      </c>
      <c r="B52" s="75"/>
      <c r="C52" s="79"/>
      <c r="D52" s="76">
        <f>'[1]all expenditure'!$AJ$115</f>
        <v>0</v>
      </c>
      <c r="E52" s="77"/>
      <c r="F52" s="44"/>
      <c r="G52" s="7"/>
      <c r="H52" s="7"/>
      <c r="I52" s="7"/>
    </row>
    <row r="53" spans="1:11" ht="15" x14ac:dyDescent="0.25">
      <c r="A53" s="78" t="s">
        <v>49</v>
      </c>
      <c r="B53" s="75">
        <f>'[1]all income'!$AA$324</f>
        <v>0</v>
      </c>
      <c r="C53" s="79"/>
      <c r="D53" s="76">
        <f>'[1]all expenditure'!$AI$115</f>
        <v>50</v>
      </c>
      <c r="E53" s="77"/>
      <c r="F53" s="44"/>
      <c r="G53" s="7"/>
      <c r="H53" s="7"/>
      <c r="I53" s="7"/>
    </row>
    <row r="54" spans="1:11" ht="15" x14ac:dyDescent="0.25">
      <c r="A54" s="78" t="s">
        <v>50</v>
      </c>
      <c r="B54" s="75">
        <v>0</v>
      </c>
      <c r="C54" s="79"/>
      <c r="D54" s="76">
        <v>209.58</v>
      </c>
      <c r="E54" s="77"/>
      <c r="F54" s="44"/>
      <c r="G54" s="7"/>
      <c r="H54" s="7"/>
      <c r="I54" s="7"/>
    </row>
    <row r="55" spans="1:11" ht="15" x14ac:dyDescent="0.25">
      <c r="A55" s="78" t="s">
        <v>51</v>
      </c>
      <c r="B55" s="75"/>
      <c r="C55" s="79"/>
      <c r="D55" s="76">
        <v>160</v>
      </c>
      <c r="E55" s="77"/>
      <c r="F55" s="44"/>
      <c r="G55" s="7"/>
      <c r="H55" s="7"/>
      <c r="I55" s="7"/>
    </row>
    <row r="56" spans="1:11" ht="15" x14ac:dyDescent="0.25">
      <c r="A56" s="71" t="s">
        <v>13</v>
      </c>
      <c r="B56" s="68"/>
      <c r="C56" s="67">
        <f>SUM(B49:B55)</f>
        <v>106.8</v>
      </c>
      <c r="D56" s="72"/>
      <c r="E56" s="73">
        <f>SUM(D49:D55)</f>
        <v>423.54</v>
      </c>
      <c r="F56" s="44">
        <v>316.74</v>
      </c>
      <c r="G56" s="7">
        <f>SUM(C56)</f>
        <v>106.8</v>
      </c>
      <c r="H56" s="7">
        <f>SUM(E56)</f>
        <v>423.54</v>
      </c>
      <c r="I56" s="39">
        <f>+F56+G56-H56</f>
        <v>0</v>
      </c>
      <c r="J56" s="52" t="str">
        <f>IF(I56='[1]weds club ledger'!O156,"Correct","Does not agree")</f>
        <v>Correct</v>
      </c>
      <c r="K56" s="14">
        <f>+C56-E56</f>
        <v>-316.74</v>
      </c>
    </row>
    <row r="57" spans="1:11" ht="15" x14ac:dyDescent="0.25">
      <c r="A57" s="81" t="s">
        <v>52</v>
      </c>
      <c r="B57" s="82"/>
      <c r="C57" s="82"/>
      <c r="D57" s="82"/>
      <c r="E57" s="82"/>
      <c r="F57" s="2"/>
      <c r="G57" s="1"/>
      <c r="H57" s="7"/>
      <c r="I57" s="1"/>
    </row>
    <row r="58" spans="1:11" ht="15" x14ac:dyDescent="0.25">
      <c r="A58" s="83" t="s">
        <v>53</v>
      </c>
      <c r="B58" s="82"/>
      <c r="C58" s="82"/>
      <c r="D58" s="82">
        <f>'[1]all expenditure'!$AX$115</f>
        <v>0</v>
      </c>
      <c r="E58" s="82"/>
      <c r="F58" s="2"/>
      <c r="G58" s="1"/>
      <c r="H58" s="7"/>
      <c r="I58" s="1"/>
    </row>
    <row r="59" spans="1:11" ht="15" x14ac:dyDescent="0.25">
      <c r="A59" s="83" t="s">
        <v>54</v>
      </c>
      <c r="B59" s="84">
        <f>'[1]all income'!$AH$324</f>
        <v>175.1</v>
      </c>
      <c r="C59" s="84"/>
      <c r="D59" s="84"/>
      <c r="E59" s="82"/>
      <c r="F59" s="2"/>
      <c r="G59" s="1"/>
      <c r="H59" s="7"/>
      <c r="I59" s="1"/>
    </row>
    <row r="60" spans="1:11" ht="15" x14ac:dyDescent="0.25">
      <c r="A60" s="83" t="s">
        <v>55</v>
      </c>
      <c r="B60" s="84">
        <f>'[1]all income'!$AE$324</f>
        <v>0</v>
      </c>
      <c r="C60" s="84"/>
      <c r="D60" s="84">
        <f>'[1]all expenditure'!$AZ$115</f>
        <v>0</v>
      </c>
      <c r="E60" s="82"/>
      <c r="F60" s="2"/>
      <c r="G60" s="1"/>
      <c r="H60" s="7"/>
      <c r="I60" s="1"/>
    </row>
    <row r="61" spans="1:11" ht="15" x14ac:dyDescent="0.25">
      <c r="A61" s="83" t="s">
        <v>56</v>
      </c>
      <c r="B61" s="84">
        <f>'[1]all income'!$AF$324</f>
        <v>36.299999999999997</v>
      </c>
      <c r="C61" s="84"/>
      <c r="D61" s="84"/>
      <c r="E61" s="82"/>
      <c r="F61" s="2"/>
      <c r="G61" s="1"/>
      <c r="H61" s="7"/>
      <c r="I61" s="1"/>
    </row>
    <row r="62" spans="1:11" ht="15" x14ac:dyDescent="0.25">
      <c r="A62" s="83" t="s">
        <v>57</v>
      </c>
      <c r="B62" s="85">
        <f>'[1]all income'!$AD$324</f>
        <v>498.28</v>
      </c>
      <c r="C62" s="84"/>
      <c r="D62" s="84"/>
      <c r="E62" s="82"/>
      <c r="F62" s="2"/>
      <c r="G62" s="1"/>
      <c r="H62" s="7"/>
      <c r="I62" s="1"/>
    </row>
    <row r="63" spans="1:11" ht="15" x14ac:dyDescent="0.25">
      <c r="A63" s="83" t="s">
        <v>58</v>
      </c>
      <c r="B63" s="84">
        <f>'[1]all income'!$AY$324</f>
        <v>430.5</v>
      </c>
      <c r="C63" s="84"/>
      <c r="D63" s="84">
        <f>'[1]all expenditure'!$BH$115</f>
        <v>429</v>
      </c>
      <c r="E63" s="82"/>
      <c r="F63" s="2"/>
      <c r="G63" s="1"/>
      <c r="H63" s="7"/>
      <c r="I63" s="1"/>
    </row>
    <row r="64" spans="1:11" ht="15" x14ac:dyDescent="0.25">
      <c r="A64" s="83" t="s">
        <v>59</v>
      </c>
      <c r="B64" s="84">
        <f>'[1]all income'!$AS$324</f>
        <v>61.75</v>
      </c>
      <c r="C64" s="84"/>
      <c r="D64" s="84">
        <f>'[1]all expenditure'!$BJ$115</f>
        <v>123.5</v>
      </c>
      <c r="E64" s="82"/>
      <c r="F64" s="2"/>
      <c r="G64" s="1"/>
      <c r="H64" s="7"/>
      <c r="I64" s="1"/>
    </row>
    <row r="65" spans="1:11" ht="15" x14ac:dyDescent="0.25">
      <c r="A65" s="83" t="s">
        <v>60</v>
      </c>
      <c r="B65" s="84">
        <v>209.58</v>
      </c>
      <c r="C65" s="84"/>
      <c r="D65" s="84"/>
      <c r="E65" s="82"/>
      <c r="F65" s="44"/>
      <c r="G65" s="7"/>
      <c r="H65" s="7"/>
      <c r="I65" s="7"/>
    </row>
    <row r="66" spans="1:11" ht="15" x14ac:dyDescent="0.25">
      <c r="A66" s="83" t="s">
        <v>61</v>
      </c>
      <c r="B66" s="84">
        <f>'[1]all income'!$AO$324</f>
        <v>172.48</v>
      </c>
      <c r="C66" s="84"/>
      <c r="D66" s="84">
        <f>'[1]all expenditure'!$BL$115</f>
        <v>50.1</v>
      </c>
      <c r="E66" s="82"/>
      <c r="F66" s="44"/>
      <c r="G66" s="7"/>
      <c r="H66" s="7"/>
      <c r="I66" s="7"/>
    </row>
    <row r="67" spans="1:11" ht="15" x14ac:dyDescent="0.25">
      <c r="A67" s="86" t="s">
        <v>62</v>
      </c>
      <c r="B67" s="84">
        <f>'[1]all income'!$AU$324</f>
        <v>0</v>
      </c>
      <c r="C67" s="84"/>
      <c r="D67" s="84"/>
      <c r="E67" s="82"/>
      <c r="F67" s="2"/>
      <c r="G67" s="1"/>
      <c r="H67" s="1"/>
      <c r="I67" s="1"/>
    </row>
    <row r="68" spans="1:11" ht="15" x14ac:dyDescent="0.25">
      <c r="A68" s="86" t="s">
        <v>63</v>
      </c>
      <c r="B68" s="84">
        <f>'[1]all income'!$AG$324</f>
        <v>5</v>
      </c>
      <c r="C68" s="84"/>
      <c r="D68" s="84">
        <f>'[1]all expenditure'!$BF$115</f>
        <v>5</v>
      </c>
      <c r="E68" s="82"/>
      <c r="F68" s="2"/>
      <c r="G68" s="1"/>
      <c r="H68" s="1"/>
      <c r="I68" s="1"/>
    </row>
    <row r="69" spans="1:11" ht="15" x14ac:dyDescent="0.25">
      <c r="A69" s="86" t="s">
        <v>64</v>
      </c>
      <c r="B69" s="84">
        <f>'[1]all income'!$AP$324</f>
        <v>0</v>
      </c>
      <c r="C69" s="84"/>
      <c r="D69" s="84">
        <f>'[1]all expenditure'!$BP$115</f>
        <v>0</v>
      </c>
      <c r="E69" s="82"/>
      <c r="F69" s="2"/>
      <c r="G69" s="1"/>
      <c r="H69" s="7"/>
      <c r="I69" s="1"/>
    </row>
    <row r="70" spans="1:11" ht="15" x14ac:dyDescent="0.25">
      <c r="A70" s="86" t="s">
        <v>65</v>
      </c>
      <c r="B70" s="84">
        <f>'[1]all income'!$AT$324</f>
        <v>100</v>
      </c>
      <c r="C70" s="84"/>
      <c r="D70" s="84">
        <f>'[1]all expenditure'!$BI$115</f>
        <v>100</v>
      </c>
      <c r="E70" s="82"/>
      <c r="F70" s="2"/>
      <c r="G70" s="1"/>
      <c r="H70" s="7"/>
      <c r="I70" s="1"/>
    </row>
    <row r="71" spans="1:11" ht="15" x14ac:dyDescent="0.25">
      <c r="A71" s="86" t="s">
        <v>66</v>
      </c>
      <c r="B71" s="84">
        <f>'[1]all income'!$AJ$324</f>
        <v>26</v>
      </c>
      <c r="C71" s="84"/>
      <c r="D71" s="84">
        <f>'[1]all expenditure'!$AY$115</f>
        <v>59.07</v>
      </c>
      <c r="E71" s="82"/>
      <c r="F71" s="2"/>
      <c r="G71" s="1"/>
      <c r="H71" s="7"/>
      <c r="I71" s="1"/>
      <c r="J71" s="18"/>
    </row>
    <row r="72" spans="1:11" ht="15" x14ac:dyDescent="0.25">
      <c r="A72" s="86" t="s">
        <v>67</v>
      </c>
      <c r="B72" s="84">
        <f>'[1]all income'!$AR$324</f>
        <v>485.21</v>
      </c>
      <c r="C72" s="84"/>
      <c r="D72" s="84"/>
      <c r="E72" s="82"/>
      <c r="F72" s="2"/>
      <c r="G72" s="1"/>
      <c r="H72" s="7"/>
      <c r="I72" s="1"/>
    </row>
    <row r="73" spans="1:11" ht="15" x14ac:dyDescent="0.25">
      <c r="A73" s="86" t="s">
        <v>68</v>
      </c>
      <c r="B73" s="84">
        <f>'[1]all income'!$AW$324</f>
        <v>100</v>
      </c>
      <c r="C73" s="84"/>
      <c r="D73" s="84"/>
      <c r="E73" s="82"/>
      <c r="F73" s="2"/>
      <c r="G73" s="1"/>
      <c r="H73" s="7"/>
      <c r="I73" s="1"/>
    </row>
    <row r="74" spans="1:11" ht="15" x14ac:dyDescent="0.25">
      <c r="A74" s="86" t="s">
        <v>69</v>
      </c>
      <c r="B74" s="84">
        <f>'[1]all income'!$AX$324</f>
        <v>12.22</v>
      </c>
      <c r="C74" s="84"/>
      <c r="D74" s="84"/>
      <c r="E74" s="82"/>
      <c r="F74" s="2"/>
      <c r="G74" s="1"/>
      <c r="H74" s="7"/>
      <c r="I74" s="1"/>
    </row>
    <row r="75" spans="1:11" ht="15" x14ac:dyDescent="0.25">
      <c r="A75" s="86" t="s">
        <v>70</v>
      </c>
      <c r="B75" s="85">
        <f>'[1]all income'!$AQ$324</f>
        <v>56.24</v>
      </c>
      <c r="C75" s="84"/>
      <c r="D75" s="84">
        <f>'[1]fundraising social ledger'!$AJ$84</f>
        <v>56.24</v>
      </c>
      <c r="E75" s="82"/>
      <c r="F75" s="2"/>
      <c r="G75" s="1"/>
      <c r="H75" s="7"/>
      <c r="I75" s="1"/>
    </row>
    <row r="76" spans="1:11" ht="15" x14ac:dyDescent="0.25">
      <c r="A76" s="86" t="s">
        <v>71</v>
      </c>
      <c r="B76" s="84">
        <f>'[1]all income'!$AL$324</f>
        <v>367.92</v>
      </c>
      <c r="C76" s="84"/>
      <c r="D76" s="84"/>
      <c r="E76" s="82"/>
      <c r="F76" s="2"/>
      <c r="G76" s="1"/>
      <c r="H76" s="7"/>
      <c r="I76" s="1"/>
    </row>
    <row r="77" spans="1:11" ht="15" x14ac:dyDescent="0.25">
      <c r="A77" s="86" t="s">
        <v>72</v>
      </c>
      <c r="B77" s="84">
        <f>'[1]all income'!$AK$324</f>
        <v>0</v>
      </c>
      <c r="C77" s="84"/>
      <c r="D77" s="84"/>
      <c r="E77" s="82"/>
      <c r="F77" s="2"/>
      <c r="G77" s="1"/>
      <c r="H77" s="7"/>
      <c r="I77" s="1"/>
    </row>
    <row r="78" spans="1:11" ht="15" x14ac:dyDescent="0.25">
      <c r="A78" s="86" t="s">
        <v>73</v>
      </c>
      <c r="B78" s="84">
        <f>'[1]all income'!$AV$324</f>
        <v>444.25</v>
      </c>
      <c r="C78" s="84"/>
      <c r="D78" s="84">
        <f>'[1]all expenditure'!$BE$115</f>
        <v>444.25</v>
      </c>
      <c r="E78" s="82"/>
      <c r="F78" s="2"/>
      <c r="G78" s="1"/>
      <c r="H78" s="7"/>
      <c r="I78" s="1"/>
    </row>
    <row r="79" spans="1:11" ht="15" x14ac:dyDescent="0.25">
      <c r="A79" s="86" t="s">
        <v>74</v>
      </c>
      <c r="B79" s="84">
        <v>3</v>
      </c>
      <c r="C79" s="84"/>
      <c r="D79" s="84"/>
      <c r="E79" s="82"/>
      <c r="F79" s="2"/>
      <c r="G79" s="1"/>
      <c r="H79" s="7"/>
      <c r="I79" s="1"/>
    </row>
    <row r="80" spans="1:11" s="52" customFormat="1" ht="15" x14ac:dyDescent="0.25">
      <c r="A80" s="87" t="s">
        <v>13</v>
      </c>
      <c r="B80" s="88"/>
      <c r="C80" s="88">
        <f>SUM(B57:B79)</f>
        <v>3183.8299999999995</v>
      </c>
      <c r="D80" s="88"/>
      <c r="E80" s="89">
        <f>SUM(D57:D79)</f>
        <v>1267.1600000000001</v>
      </c>
      <c r="F80" s="12"/>
      <c r="G80" s="38">
        <f>SUM(C80)</f>
        <v>3183.8299999999995</v>
      </c>
      <c r="H80" s="38">
        <f>SUM(E80)</f>
        <v>1267.1600000000001</v>
      </c>
      <c r="I80" s="39">
        <f>+F80+G80-H80</f>
        <v>1916.6699999999994</v>
      </c>
      <c r="J80" s="52" t="str">
        <f>IF(I80='[1]fundraising social ledger'!AU85,"correct","does not agree")</f>
        <v>correct</v>
      </c>
      <c r="K80" s="14">
        <f>+C80-E80</f>
        <v>1916.6699999999994</v>
      </c>
    </row>
    <row r="81" spans="1:169" ht="15" x14ac:dyDescent="0.25">
      <c r="A81" s="90" t="s">
        <v>75</v>
      </c>
      <c r="B81" s="91"/>
      <c r="C81" s="91"/>
      <c r="D81" s="91"/>
      <c r="E81" s="91"/>
      <c r="F81" s="2"/>
      <c r="G81" s="1"/>
      <c r="H81" s="7"/>
      <c r="I81" s="1"/>
    </row>
    <row r="82" spans="1:169" ht="15" x14ac:dyDescent="0.25">
      <c r="A82" s="92" t="s">
        <v>76</v>
      </c>
      <c r="B82" s="91"/>
      <c r="C82" s="91"/>
      <c r="D82" s="91">
        <f>'[1]all expenditure'!$BR$115</f>
        <v>46.25</v>
      </c>
      <c r="E82" s="91"/>
      <c r="F82" s="2"/>
      <c r="G82" s="1"/>
      <c r="H82" s="7"/>
      <c r="I82" s="1"/>
    </row>
    <row r="83" spans="1:169" ht="15" x14ac:dyDescent="0.25">
      <c r="A83" s="92" t="s">
        <v>77</v>
      </c>
      <c r="B83" s="91"/>
      <c r="C83" s="91"/>
      <c r="D83" s="91">
        <f>'[1]all expenditure'!$BS$115</f>
        <v>0</v>
      </c>
      <c r="E83" s="91"/>
      <c r="F83" s="2"/>
      <c r="G83" s="1"/>
      <c r="H83" s="7"/>
      <c r="I83" s="1"/>
    </row>
    <row r="84" spans="1:169" ht="15" x14ac:dyDescent="0.25">
      <c r="A84" s="93" t="s">
        <v>78</v>
      </c>
      <c r="B84" s="91"/>
      <c r="C84" s="91"/>
      <c r="D84" s="91">
        <f>'[1]admin costs ledger'!$O$25</f>
        <v>0</v>
      </c>
      <c r="E84" s="91"/>
      <c r="F84" s="2"/>
      <c r="G84" s="1"/>
      <c r="H84" s="7"/>
      <c r="I84" s="1"/>
    </row>
    <row r="85" spans="1:169" ht="15" x14ac:dyDescent="0.25">
      <c r="A85" s="92" t="s">
        <v>79</v>
      </c>
      <c r="B85" s="91">
        <f>'[1]all income'!$BA$324</f>
        <v>0</v>
      </c>
      <c r="C85" s="91"/>
      <c r="D85" s="91">
        <f>'[1]all expenditure'!$BT$115</f>
        <v>34.020000000000003</v>
      </c>
      <c r="E85" s="91"/>
      <c r="F85" s="2"/>
      <c r="G85" s="1"/>
      <c r="H85" s="7"/>
      <c r="I85" s="1"/>
    </row>
    <row r="86" spans="1:169" ht="15" x14ac:dyDescent="0.25">
      <c r="A86" s="93" t="s">
        <v>80</v>
      </c>
      <c r="B86" s="91"/>
      <c r="C86" s="91"/>
      <c r="D86" s="91">
        <f>'[1]all expenditure'!$CA$115</f>
        <v>60</v>
      </c>
      <c r="E86" s="91"/>
      <c r="F86" s="2"/>
      <c r="G86" s="1"/>
      <c r="H86" s="7"/>
      <c r="I86" s="1"/>
    </row>
    <row r="87" spans="1:169" s="95" customFormat="1" ht="15" x14ac:dyDescent="0.25">
      <c r="A87" s="91" t="s">
        <v>81</v>
      </c>
      <c r="B87" s="91"/>
      <c r="C87" s="91"/>
      <c r="D87" s="91">
        <f>'[1]all expenditure'!$BU$115</f>
        <v>189.77</v>
      </c>
      <c r="E87" s="91"/>
      <c r="F87" s="94"/>
      <c r="H87" s="7"/>
      <c r="J87" s="96"/>
      <c r="K87" s="96"/>
      <c r="L87" s="97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</row>
    <row r="88" spans="1:169" s="98" customFormat="1" ht="15" x14ac:dyDescent="0.25">
      <c r="A88" s="91" t="s">
        <v>82</v>
      </c>
      <c r="B88" s="91"/>
      <c r="C88" s="91"/>
      <c r="D88" s="91">
        <f>'[1]all expenditure'!$BV$115</f>
        <v>143.88</v>
      </c>
      <c r="E88" s="91"/>
      <c r="F88" s="94"/>
      <c r="G88" s="95"/>
      <c r="H88" s="7"/>
      <c r="I88" s="95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</row>
    <row r="89" spans="1:169" ht="15" x14ac:dyDescent="0.25">
      <c r="A89" s="92" t="s">
        <v>83</v>
      </c>
      <c r="B89" s="91"/>
      <c r="C89" s="91"/>
      <c r="D89" s="91">
        <f>'[1]all expenditure'!$BW$115</f>
        <v>0</v>
      </c>
      <c r="E89" s="91"/>
      <c r="F89" s="2"/>
      <c r="G89" s="1"/>
      <c r="H89" s="7"/>
      <c r="I89" s="1"/>
    </row>
    <row r="90" spans="1:169" ht="15" x14ac:dyDescent="0.25">
      <c r="A90" s="93" t="s">
        <v>84</v>
      </c>
      <c r="B90" s="91"/>
      <c r="C90" s="91"/>
      <c r="D90" s="99">
        <f>'[1]all expenditure'!$BX$115</f>
        <v>0</v>
      </c>
      <c r="E90" s="91"/>
      <c r="F90" s="2"/>
      <c r="G90" s="1"/>
      <c r="H90" s="7"/>
      <c r="I90" s="1"/>
    </row>
    <row r="91" spans="1:169" ht="15" x14ac:dyDescent="0.25">
      <c r="A91" s="92" t="s">
        <v>85</v>
      </c>
      <c r="B91" s="91"/>
      <c r="C91" s="91"/>
      <c r="D91" s="99">
        <f>'[1]all expenditure'!$BZ$115</f>
        <v>190.4</v>
      </c>
      <c r="E91" s="91"/>
      <c r="F91" s="44"/>
      <c r="G91" s="100"/>
      <c r="H91" s="7"/>
      <c r="I91" s="7"/>
    </row>
    <row r="92" spans="1:169" ht="15" x14ac:dyDescent="0.25">
      <c r="A92" s="92" t="s">
        <v>86</v>
      </c>
      <c r="B92" s="91">
        <f>'[1]all income'!$AZ$324</f>
        <v>79.02</v>
      </c>
      <c r="C92" s="91"/>
      <c r="D92" s="91"/>
      <c r="E92" s="91"/>
      <c r="F92" s="44"/>
      <c r="G92" s="100"/>
      <c r="H92" s="7"/>
      <c r="I92" s="7"/>
    </row>
    <row r="93" spans="1:169" s="40" customFormat="1" ht="15" x14ac:dyDescent="0.25">
      <c r="A93" s="101" t="s">
        <v>13</v>
      </c>
      <c r="B93" s="102"/>
      <c r="C93" s="102">
        <f>SUM(B82:B92)</f>
        <v>79.02</v>
      </c>
      <c r="D93" s="102"/>
      <c r="E93" s="102">
        <f>SUM(D82:D93)</f>
        <v>664.32</v>
      </c>
      <c r="F93" s="12">
        <v>800</v>
      </c>
      <c r="G93" s="38">
        <f>SUM(C93)</f>
        <v>79.02</v>
      </c>
      <c r="H93" s="38">
        <f>+E93</f>
        <v>664.32</v>
      </c>
      <c r="I93" s="39">
        <f>+F93+G93-H93</f>
        <v>214.69999999999993</v>
      </c>
      <c r="J93" s="52" t="str">
        <f>IF(I93='[1]admin costs ledger'!U25,"correct","does not agree")</f>
        <v>correct</v>
      </c>
      <c r="K93" s="14">
        <f>+C94-E94</f>
        <v>11580.369999999999</v>
      </c>
    </row>
    <row r="94" spans="1:169" s="52" customFormat="1" ht="15" x14ac:dyDescent="0.25">
      <c r="A94" s="103" t="s">
        <v>87</v>
      </c>
      <c r="B94" s="7">
        <f>SUM(B3:B93)</f>
        <v>11580.369999999997</v>
      </c>
      <c r="C94" s="7">
        <f>SUM(C3:C93)</f>
        <v>11580.369999999999</v>
      </c>
      <c r="D94" s="38">
        <f>SUM(D3:D93)</f>
        <v>11024.48</v>
      </c>
      <c r="E94" s="104"/>
      <c r="K94" s="3"/>
    </row>
    <row r="95" spans="1:169" ht="13.5" thickBot="1" x14ac:dyDescent="0.25">
      <c r="A95" s="105"/>
      <c r="B95" s="106"/>
      <c r="C95" s="38"/>
      <c r="D95" s="106"/>
      <c r="E95" s="107"/>
      <c r="F95" s="107">
        <f>SUM(F3:F93)</f>
        <v>4832.87</v>
      </c>
      <c r="G95" s="38">
        <f>SUM(G3:G93)</f>
        <v>11580.369999999999</v>
      </c>
      <c r="H95" s="38">
        <f>SUM(H3:H93)</f>
        <v>11024.48</v>
      </c>
      <c r="I95" s="38">
        <f>SUM(I3:I93)</f>
        <v>5128.9599999999991</v>
      </c>
      <c r="J95" s="52" t="s">
        <v>88</v>
      </c>
    </row>
    <row r="96" spans="1:169" ht="15" x14ac:dyDescent="0.25">
      <c r="A96" s="108" t="s">
        <v>89</v>
      </c>
      <c r="B96" s="109"/>
      <c r="C96" s="109"/>
      <c r="D96" s="110">
        <v>9944.16</v>
      </c>
      <c r="E96" s="18"/>
      <c r="F96" s="44"/>
      <c r="G96" s="1"/>
      <c r="H96" s="7"/>
      <c r="I96" s="7">
        <f>(+D99)</f>
        <v>10500.05</v>
      </c>
      <c r="J96" s="3" t="s">
        <v>90</v>
      </c>
    </row>
    <row r="97" spans="1:11" ht="15" x14ac:dyDescent="0.25">
      <c r="A97" s="111" t="s">
        <v>3</v>
      </c>
      <c r="B97" s="7"/>
      <c r="C97" s="7"/>
      <c r="D97" s="112">
        <f>'[1]all income'!$F$324</f>
        <v>11580.37</v>
      </c>
      <c r="E97" s="18">
        <f>+D97-B94</f>
        <v>0</v>
      </c>
      <c r="F97" s="113"/>
      <c r="H97" s="18"/>
      <c r="I97" s="114">
        <f>SUM(I96-I95)</f>
        <v>5371.09</v>
      </c>
      <c r="J97" s="3" t="s">
        <v>91</v>
      </c>
    </row>
    <row r="98" spans="1:11" ht="15" x14ac:dyDescent="0.25">
      <c r="A98" s="111" t="s">
        <v>4</v>
      </c>
      <c r="B98" s="7"/>
      <c r="C98" s="7"/>
      <c r="D98" s="112">
        <f>'[1]all expenditure'!$D$117</f>
        <v>11024.48</v>
      </c>
      <c r="E98" s="18">
        <f>+D98-D94</f>
        <v>0</v>
      </c>
      <c r="G98" s="142" t="s">
        <v>92</v>
      </c>
      <c r="H98" s="142"/>
      <c r="I98" s="18">
        <v>2640</v>
      </c>
    </row>
    <row r="99" spans="1:11" ht="15.75" thickBot="1" x14ac:dyDescent="0.3">
      <c r="A99" s="115" t="s">
        <v>93</v>
      </c>
      <c r="B99" s="116"/>
      <c r="C99" s="116"/>
      <c r="D99" s="117">
        <f>SUM((D96+D97)-D98)</f>
        <v>10500.05</v>
      </c>
      <c r="I99" s="18">
        <f>+I97-I98</f>
        <v>2731.09</v>
      </c>
      <c r="J99" s="3" t="s">
        <v>94</v>
      </c>
      <c r="K99" s="18">
        <f>+D97-D98</f>
        <v>555.89000000000124</v>
      </c>
    </row>
    <row r="100" spans="1:11" ht="15" x14ac:dyDescent="0.25">
      <c r="A100" s="119"/>
      <c r="B100" s="120"/>
      <c r="C100" s="120"/>
      <c r="D100" s="120"/>
      <c r="E100" s="18"/>
      <c r="F100" s="18"/>
      <c r="G100" s="18"/>
    </row>
    <row r="101" spans="1:11" ht="15" x14ac:dyDescent="0.25">
      <c r="A101" s="121" t="s">
        <v>95</v>
      </c>
      <c r="B101" s="7"/>
      <c r="C101" s="7"/>
      <c r="D101" s="7"/>
      <c r="E101" s="18"/>
      <c r="F101" s="18"/>
    </row>
    <row r="102" spans="1:11" ht="15" x14ac:dyDescent="0.25">
      <c r="A102" s="122" t="s">
        <v>96</v>
      </c>
      <c r="B102" s="122">
        <v>2099.9899999999998</v>
      </c>
      <c r="C102" s="122"/>
      <c r="D102" s="122"/>
      <c r="E102" s="18"/>
    </row>
    <row r="103" spans="1:11" ht="15" x14ac:dyDescent="0.25">
      <c r="A103" s="122" t="s">
        <v>97</v>
      </c>
      <c r="B103" s="122"/>
      <c r="C103" s="122"/>
      <c r="D103" s="122"/>
      <c r="E103" s="18"/>
    </row>
    <row r="104" spans="1:11" ht="15" x14ac:dyDescent="0.25">
      <c r="A104" s="122" t="s">
        <v>98</v>
      </c>
      <c r="B104" s="122">
        <v>402</v>
      </c>
      <c r="C104" s="122"/>
      <c r="D104" s="122"/>
      <c r="E104" s="18"/>
    </row>
    <row r="105" spans="1:11" ht="15" x14ac:dyDescent="0.25">
      <c r="A105" s="122" t="s">
        <v>99</v>
      </c>
      <c r="B105" s="122"/>
      <c r="C105" s="122"/>
      <c r="D105" s="122"/>
      <c r="E105" s="18"/>
      <c r="H105" s="18"/>
    </row>
    <row r="106" spans="1:11" ht="15" x14ac:dyDescent="0.25">
      <c r="A106" s="123" t="s">
        <v>100</v>
      </c>
      <c r="B106" s="122">
        <f>+B102+B104</f>
        <v>2501.9899999999998</v>
      </c>
      <c r="C106" s="122"/>
      <c r="D106" s="122"/>
      <c r="E106" s="18">
        <f>2099.99-B106+B104</f>
        <v>0</v>
      </c>
    </row>
    <row r="107" spans="1:11" ht="15" x14ac:dyDescent="0.25">
      <c r="A107" s="124" t="s">
        <v>101</v>
      </c>
      <c r="B107" s="125">
        <f>277+93.84+267+409+87+46+139+322.25+144+230+284+145+114.79+181+259+178+20+283+292</f>
        <v>3771.88</v>
      </c>
      <c r="C107" s="7"/>
      <c r="D107" s="7"/>
      <c r="E107" s="18"/>
      <c r="G107" s="18"/>
      <c r="H107" s="18"/>
    </row>
    <row r="108" spans="1:11" ht="15" x14ac:dyDescent="0.25">
      <c r="A108" s="124" t="s">
        <v>102</v>
      </c>
      <c r="B108" s="125">
        <f>15+67+145+12+5+5+5+3+67+11.8+5+3+9.21+122+5+5+35+81.3+5+65+5+3+87-5+105.5+65+5+3+91.04+30+57.81+5+20+27.09+5+3+33.8+92+346.58+5+5+3+19.42+15+71+17.55+500+5+18+3-5+26.55+5+5+3+58+3+5+10+3+5+3+30+10+5+5+101+3+20+187.6+5+77+3+3+59.5+11.8+72+59.25+5+3+293.72+6+5+5+117+59.25+15+3+59.25+5+10+5+6+209.58+15+77+5+2.75+6+5+3+3+3+20.65+5+5+3+79+102+50.64+5+5+10+12+5+5+3+17.55+12+5+5+49+59+64+5+3+5+5+3+10+5+3+15+62+70+5+5+3+8+5+5+5+3+8+5+5+3+5+5+10+5+3+5+54.25+3+8+79+25+80+99+19+5+12+5+15+3+3+40.66+54.75+54.75+92+54.75+5+69+34+19+15+3+6+54.75+8+28.12+3+5+5+3+10+3+5+3+3+5+14.62+67+5+21+3+3+5+84+5+3+54.25+28.12+95+39+5.85+5+54+10+5+5+5+5+5+3+3+11.8+10+30+10+20+5+172.48+5+3+3+2+5+3+12+32+10+3+5+64+5+25+10+64+20+12+3+40.22+15+5+5+10+3+57+3+25.99+5+5+3+5+5+3+3+10+55+4+50+5+10+82+3+69+9+3+5+5+3+3+5+10+3+15+61.75+5+6+3+10</f>
        <v>7514.3</v>
      </c>
      <c r="C108" s="7"/>
      <c r="D108" s="7"/>
      <c r="E108" s="18"/>
      <c r="J108" s="18"/>
    </row>
    <row r="109" spans="1:11" ht="15" x14ac:dyDescent="0.25">
      <c r="A109" s="124" t="s">
        <v>103</v>
      </c>
      <c r="B109" s="7"/>
      <c r="C109" s="7"/>
      <c r="D109" s="7"/>
      <c r="E109" s="18"/>
    </row>
    <row r="110" spans="1:11" ht="15" x14ac:dyDescent="0.25">
      <c r="A110" s="124" t="s">
        <v>104</v>
      </c>
      <c r="B110" s="7"/>
      <c r="C110" s="7"/>
      <c r="D110" s="7"/>
      <c r="E110" s="18"/>
      <c r="I110" s="18"/>
      <c r="K110" s="126"/>
    </row>
    <row r="111" spans="1:11" ht="15" x14ac:dyDescent="0.25">
      <c r="A111" s="124" t="s">
        <v>105</v>
      </c>
      <c r="B111" s="127">
        <f>34.02+112.5+16.8+50+67.5+210+75+75+160+22.8+90+16.8+38.4+30.3+91+16+240+75+100+51.2+51.2+112.5+16.8+9.99+209.58+90+210+125+225+60+22.95+51.2+200+133.2+21.49+143.88+37.58+16.8+21.49+385+51.2-21.49+444.25+2.74+75+75+14.45+70+38.4+104+444+88.9+16.8+190.4+90+175+16.8+112.5+16.8+300+60+50+175+78+408+31.77+23.68+180+6.5+56.24+35.1+429+16.8+-4.99+100+100+100+140+210+76.2+78+359+114.3+67.5+67.5+52.85+90+16.8+31.22+7.51+50+75+12.99-22.25+155.9+90+100+150+75+14.8+240+35+296+104+88.9+47.96+14.8+123.5</f>
        <v>10828.309999999994</v>
      </c>
      <c r="C111" s="7"/>
      <c r="D111" s="7"/>
      <c r="E111" s="18"/>
      <c r="H111" s="18"/>
      <c r="I111" s="18"/>
    </row>
    <row r="112" spans="1:11" ht="15" x14ac:dyDescent="0.25">
      <c r="A112" s="128" t="s">
        <v>106</v>
      </c>
      <c r="B112" s="7"/>
      <c r="C112" s="7"/>
      <c r="D112" s="7"/>
      <c r="E112" s="18"/>
      <c r="H112" s="18"/>
      <c r="I112" s="18"/>
    </row>
    <row r="113" spans="1:12" ht="15" x14ac:dyDescent="0.25">
      <c r="A113" s="128"/>
      <c r="B113" s="7"/>
      <c r="C113" s="7"/>
      <c r="D113" s="7"/>
      <c r="E113" s="18"/>
      <c r="H113" s="18"/>
      <c r="I113" s="18"/>
      <c r="J113" s="18"/>
    </row>
    <row r="114" spans="1:12" ht="15" x14ac:dyDescent="0.25">
      <c r="A114" s="71" t="s">
        <v>107</v>
      </c>
      <c r="B114" s="7"/>
      <c r="C114" s="7"/>
      <c r="D114" s="7">
        <f>+B106+B107+B108+B109-B110-B111-B112</f>
        <v>2959.860000000006</v>
      </c>
      <c r="F114" s="18"/>
      <c r="G114" s="18"/>
      <c r="H114" s="18"/>
      <c r="I114" s="18"/>
      <c r="J114" s="18"/>
      <c r="L114" s="13"/>
    </row>
    <row r="115" spans="1:12" s="13" customFormat="1" ht="15" x14ac:dyDescent="0.25">
      <c r="A115" s="124" t="s">
        <v>108</v>
      </c>
      <c r="B115" s="7">
        <f>292</f>
        <v>292</v>
      </c>
      <c r="C115" s="7"/>
      <c r="D115" s="7"/>
      <c r="E115" s="18"/>
      <c r="F115" s="18"/>
      <c r="G115" s="18"/>
      <c r="H115" s="18"/>
      <c r="I115" s="18"/>
      <c r="J115" s="14"/>
    </row>
    <row r="116" spans="1:12" s="13" customFormat="1" ht="15" x14ac:dyDescent="0.25">
      <c r="A116" s="128" t="s">
        <v>99</v>
      </c>
      <c r="B116" s="7"/>
      <c r="C116" s="7"/>
      <c r="D116" s="7"/>
      <c r="E116" s="18"/>
      <c r="F116" s="18"/>
      <c r="G116" s="18"/>
      <c r="H116" s="18"/>
      <c r="I116" s="18"/>
      <c r="J116" s="14"/>
    </row>
    <row r="117" spans="1:12" ht="15" x14ac:dyDescent="0.25">
      <c r="A117" s="124" t="s">
        <v>97</v>
      </c>
      <c r="B117" s="7"/>
      <c r="C117" s="7"/>
      <c r="D117" s="7"/>
      <c r="E117" s="18"/>
      <c r="F117" s="18"/>
      <c r="G117" s="18"/>
      <c r="H117" s="18"/>
    </row>
    <row r="118" spans="1:12" ht="15" x14ac:dyDescent="0.25">
      <c r="A118" s="128" t="s">
        <v>109</v>
      </c>
      <c r="B118" s="7"/>
      <c r="C118" s="7"/>
      <c r="D118" s="7"/>
      <c r="E118" s="18"/>
      <c r="F118" s="18"/>
      <c r="G118" s="18"/>
      <c r="H118" s="18"/>
    </row>
    <row r="119" spans="1:12" ht="15" x14ac:dyDescent="0.25">
      <c r="A119" s="71" t="s">
        <v>110</v>
      </c>
      <c r="B119" s="7">
        <f>+D114-B115</f>
        <v>2667.860000000006</v>
      </c>
      <c r="C119" s="7"/>
      <c r="D119" s="7"/>
      <c r="E119" s="125">
        <v>2667.86</v>
      </c>
      <c r="F119" s="18"/>
      <c r="G119" s="18"/>
      <c r="H119" s="18"/>
    </row>
    <row r="120" spans="1:12" ht="15" x14ac:dyDescent="0.25">
      <c r="A120" s="71"/>
      <c r="B120" s="7"/>
      <c r="C120" s="7"/>
      <c r="D120" s="7"/>
      <c r="E120" s="18"/>
      <c r="F120" s="18"/>
      <c r="G120" s="18"/>
    </row>
    <row r="121" spans="1:12" ht="15" x14ac:dyDescent="0.25">
      <c r="A121" s="71"/>
      <c r="B121" s="7"/>
      <c r="C121" s="7"/>
      <c r="D121" s="7"/>
      <c r="E121" s="3"/>
      <c r="J121" s="3" t="s">
        <v>111</v>
      </c>
    </row>
    <row r="122" spans="1:12" ht="15" x14ac:dyDescent="0.25">
      <c r="A122" s="129" t="s">
        <v>112</v>
      </c>
      <c r="B122" s="130">
        <v>7422.89</v>
      </c>
      <c r="C122" s="130"/>
      <c r="D122" s="130"/>
      <c r="E122" s="18"/>
      <c r="J122" s="18">
        <f>$D$97</f>
        <v>11580.37</v>
      </c>
      <c r="K122" s="18"/>
    </row>
    <row r="123" spans="1:12" ht="15" x14ac:dyDescent="0.25">
      <c r="A123" s="129" t="s">
        <v>113</v>
      </c>
      <c r="B123" s="130"/>
      <c r="C123" s="130"/>
      <c r="D123" s="130"/>
      <c r="E123" s="3"/>
      <c r="J123" s="18">
        <f>+B107+B108+B125+B109+B128+B124</f>
        <v>11580.37</v>
      </c>
      <c r="K123" s="18"/>
    </row>
    <row r="124" spans="1:12" ht="15" x14ac:dyDescent="0.25">
      <c r="A124" s="129" t="s">
        <v>114</v>
      </c>
      <c r="B124" s="130"/>
      <c r="C124" s="130"/>
      <c r="D124" s="130"/>
      <c r="E124" s="3"/>
      <c r="J124" s="18"/>
      <c r="K124" s="18"/>
      <c r="L124" s="18"/>
    </row>
    <row r="125" spans="1:12" ht="15" x14ac:dyDescent="0.25">
      <c r="A125" s="131" t="s">
        <v>115</v>
      </c>
      <c r="B125" s="130">
        <f>'[1]all income'!$AZ$324</f>
        <v>79.02</v>
      </c>
      <c r="C125" s="130"/>
      <c r="D125" s="130"/>
      <c r="E125" s="3"/>
      <c r="J125" s="18">
        <f>+D97-J123</f>
        <v>0</v>
      </c>
      <c r="K125" s="18"/>
    </row>
    <row r="126" spans="1:12" ht="15" x14ac:dyDescent="0.25">
      <c r="A126" s="132" t="s">
        <v>116</v>
      </c>
      <c r="B126" s="130"/>
      <c r="C126" s="130"/>
      <c r="D126" s="130">
        <f>SUM(B122-B123+B124+B125)</f>
        <v>7501.9100000000008</v>
      </c>
      <c r="E126" s="18">
        <v>7501.91</v>
      </c>
      <c r="F126" s="18"/>
    </row>
    <row r="127" spans="1:12" ht="15" x14ac:dyDescent="0.25">
      <c r="A127" s="133" t="s">
        <v>117</v>
      </c>
      <c r="B127" s="134">
        <v>19.28</v>
      </c>
      <c r="C127" s="134"/>
      <c r="D127" s="134"/>
    </row>
    <row r="128" spans="1:12" ht="15" x14ac:dyDescent="0.25">
      <c r="A128" s="135" t="s">
        <v>118</v>
      </c>
      <c r="B128" s="134">
        <f>'[1]all income'!$E$324</f>
        <v>215.17</v>
      </c>
      <c r="C128" s="134"/>
      <c r="D128" s="134"/>
      <c r="E128" s="18" t="s">
        <v>119</v>
      </c>
    </row>
    <row r="129" spans="1:169" ht="15" x14ac:dyDescent="0.25">
      <c r="A129" s="135" t="s">
        <v>120</v>
      </c>
      <c r="B129" s="134">
        <f>'[1]all expenditure'!$E$115</f>
        <v>196.17</v>
      </c>
      <c r="C129" s="134"/>
      <c r="D129" s="134"/>
      <c r="E129" s="18"/>
      <c r="I129" s="18"/>
    </row>
    <row r="130" spans="1:169" ht="15" x14ac:dyDescent="0.25">
      <c r="A130" s="135" t="s">
        <v>121</v>
      </c>
      <c r="B130" s="134"/>
      <c r="C130" s="134"/>
      <c r="D130" s="134"/>
      <c r="E130" s="3"/>
    </row>
    <row r="131" spans="1:169" ht="15" x14ac:dyDescent="0.25">
      <c r="A131" s="135" t="s">
        <v>122</v>
      </c>
      <c r="B131" s="134"/>
      <c r="C131" s="134"/>
      <c r="D131" s="134"/>
      <c r="E131" s="18"/>
    </row>
    <row r="132" spans="1:169" ht="15" x14ac:dyDescent="0.25">
      <c r="A132" s="136" t="s">
        <v>123</v>
      </c>
      <c r="B132" s="134"/>
      <c r="C132" s="134"/>
      <c r="D132" s="134">
        <f>SUM(B127+B128-B129-B130+B131)</f>
        <v>38.28</v>
      </c>
      <c r="E132" s="18"/>
    </row>
    <row r="133" spans="1:169" ht="15" x14ac:dyDescent="0.25">
      <c r="A133" s="71" t="s">
        <v>124</v>
      </c>
      <c r="B133" s="7"/>
      <c r="C133" s="7"/>
      <c r="D133" s="7">
        <f>SUM(D114+D132+D126)</f>
        <v>10500.050000000007</v>
      </c>
      <c r="E133" s="18"/>
      <c r="G133" s="137"/>
      <c r="H133" s="18"/>
    </row>
    <row r="134" spans="1:169" x14ac:dyDescent="0.2">
      <c r="A134" s="138"/>
      <c r="B134" s="5"/>
      <c r="C134" s="5"/>
      <c r="D134" s="5"/>
      <c r="E134" s="18"/>
      <c r="F134" s="18"/>
      <c r="G134" s="139"/>
    </row>
    <row r="135" spans="1:169" x14ac:dyDescent="0.2">
      <c r="B135" s="3"/>
      <c r="C135" s="3"/>
      <c r="D135" s="3"/>
      <c r="E135" s="18"/>
      <c r="G135" s="137"/>
    </row>
    <row r="136" spans="1:169" x14ac:dyDescent="0.2">
      <c r="E136" s="3"/>
      <c r="G136" s="140"/>
    </row>
    <row r="137" spans="1:169" s="118" customFormat="1" x14ac:dyDescent="0.2">
      <c r="A137" s="3"/>
      <c r="F137" s="3"/>
      <c r="G137" s="14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</row>
    <row r="138" spans="1:169" s="118" customFormat="1" x14ac:dyDescent="0.2">
      <c r="A138" s="3"/>
      <c r="F138" s="3"/>
      <c r="G138" s="14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</row>
    <row r="139" spans="1:169" s="118" customFormat="1" x14ac:dyDescent="0.2">
      <c r="A139" s="3"/>
      <c r="F139" s="3"/>
      <c r="G139" s="14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</row>
    <row r="140" spans="1:169" s="118" customFormat="1" x14ac:dyDescent="0.2">
      <c r="A140" s="3"/>
      <c r="F140" s="3"/>
      <c r="G140" s="14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</row>
    <row r="141" spans="1:169" s="118" customFormat="1" x14ac:dyDescent="0.2">
      <c r="A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</row>
    <row r="142" spans="1:169" s="118" customFormat="1" x14ac:dyDescent="0.2">
      <c r="A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</row>
    <row r="148" spans="2:6" x14ac:dyDescent="0.2">
      <c r="D148" s="3"/>
    </row>
    <row r="149" spans="2:6" x14ac:dyDescent="0.2">
      <c r="D149" s="3"/>
      <c r="E149" s="3"/>
    </row>
    <row r="150" spans="2:6" x14ac:dyDescent="0.2">
      <c r="B150" s="3"/>
      <c r="C150" s="3"/>
      <c r="D150" s="3"/>
      <c r="E150" s="3"/>
      <c r="F150" s="18"/>
    </row>
    <row r="151" spans="2:6" x14ac:dyDescent="0.2">
      <c r="D151" s="3"/>
      <c r="E151" s="18"/>
    </row>
    <row r="152" spans="2:6" x14ac:dyDescent="0.2">
      <c r="D152" s="3"/>
      <c r="E152" s="3"/>
    </row>
    <row r="153" spans="2:6" x14ac:dyDescent="0.2">
      <c r="D153" s="3"/>
      <c r="E153" s="3"/>
    </row>
    <row r="154" spans="2:6" x14ac:dyDescent="0.2">
      <c r="D154" s="3"/>
      <c r="E154" s="3"/>
    </row>
    <row r="155" spans="2:6" x14ac:dyDescent="0.2">
      <c r="D155" s="3"/>
      <c r="E155" s="3"/>
    </row>
    <row r="156" spans="2:6" x14ac:dyDescent="0.2">
      <c r="D156" s="3"/>
      <c r="E156" s="3"/>
    </row>
    <row r="157" spans="2:6" x14ac:dyDescent="0.2">
      <c r="D157" s="3"/>
      <c r="E157" s="3"/>
    </row>
    <row r="158" spans="2:6" x14ac:dyDescent="0.2">
      <c r="D158" s="3"/>
      <c r="E158" s="3"/>
    </row>
    <row r="159" spans="2:6" x14ac:dyDescent="0.2">
      <c r="E159" s="3"/>
    </row>
    <row r="168" spans="2:5" x14ac:dyDescent="0.2">
      <c r="C168" s="118" t="s">
        <v>125</v>
      </c>
      <c r="D168" s="118" t="s">
        <v>126</v>
      </c>
    </row>
    <row r="169" spans="2:5" x14ac:dyDescent="0.2">
      <c r="B169" s="118" t="s">
        <v>127</v>
      </c>
      <c r="C169" s="118">
        <v>25</v>
      </c>
      <c r="D169" s="118">
        <v>50</v>
      </c>
      <c r="E169" s="118" t="s">
        <v>128</v>
      </c>
    </row>
    <row r="170" spans="2:5" x14ac:dyDescent="0.2">
      <c r="B170" s="118" t="s">
        <v>129</v>
      </c>
      <c r="C170" s="118">
        <f>30.4/2</f>
        <v>15.2</v>
      </c>
      <c r="D170" s="118">
        <v>30.4</v>
      </c>
      <c r="E170" s="118">
        <v>37.5</v>
      </c>
    </row>
    <row r="171" spans="2:5" x14ac:dyDescent="0.2">
      <c r="C171" s="118">
        <f>SUM(C169:C170)</f>
        <v>40.200000000000003</v>
      </c>
      <c r="D171" s="118">
        <f>SUM(D169:D170)</f>
        <v>80.400000000000006</v>
      </c>
      <c r="E171" s="118">
        <f>C170/2*3</f>
        <v>22.799999999999997</v>
      </c>
    </row>
    <row r="172" spans="2:5" x14ac:dyDescent="0.2">
      <c r="E172" s="118">
        <f>SUM(E170:E171)</f>
        <v>60.3</v>
      </c>
    </row>
    <row r="173" spans="2:5" x14ac:dyDescent="0.2">
      <c r="B173" s="118" t="s">
        <v>127</v>
      </c>
      <c r="C173" s="118">
        <v>25</v>
      </c>
      <c r="D173" s="118">
        <v>50</v>
      </c>
    </row>
    <row r="174" spans="2:5" x14ac:dyDescent="0.2">
      <c r="B174" s="118" t="s">
        <v>130</v>
      </c>
      <c r="C174" s="118">
        <f>57.6/2</f>
        <v>28.8</v>
      </c>
      <c r="D174" s="118">
        <v>57.6</v>
      </c>
      <c r="E174" s="118">
        <v>37.5</v>
      </c>
    </row>
    <row r="175" spans="2:5" x14ac:dyDescent="0.2">
      <c r="C175" s="118">
        <f>SUM(C173:C174)</f>
        <v>53.8</v>
      </c>
      <c r="D175" s="118">
        <f>SUM(D173:D174)</f>
        <v>107.6</v>
      </c>
      <c r="E175" s="118">
        <f>C174/2*3</f>
        <v>43.2</v>
      </c>
    </row>
    <row r="176" spans="2:5" x14ac:dyDescent="0.2">
      <c r="E176" s="118">
        <f>SUM(E174:E175)</f>
        <v>80.7</v>
      </c>
    </row>
    <row r="177" spans="2:6" x14ac:dyDescent="0.2">
      <c r="B177" s="118" t="s">
        <v>131</v>
      </c>
      <c r="D177" s="118" t="s">
        <v>132</v>
      </c>
      <c r="F177" s="3" t="s">
        <v>133</v>
      </c>
    </row>
    <row r="178" spans="2:6" x14ac:dyDescent="0.2">
      <c r="B178" s="118">
        <v>10</v>
      </c>
      <c r="C178" s="3">
        <v>4.4000000000000004</v>
      </c>
      <c r="D178" s="3"/>
      <c r="E178" s="118" t="s">
        <v>134</v>
      </c>
    </row>
    <row r="179" spans="2:6" x14ac:dyDescent="0.2">
      <c r="B179" s="118">
        <v>11</v>
      </c>
      <c r="C179" s="3">
        <v>5.6</v>
      </c>
      <c r="D179" s="3"/>
    </row>
    <row r="180" spans="2:6" x14ac:dyDescent="0.2">
      <c r="B180" s="118" t="s">
        <v>135</v>
      </c>
      <c r="C180" s="3">
        <f>SUM(C178:C179)</f>
        <v>10</v>
      </c>
      <c r="D180" s="3">
        <f>+C180*4</f>
        <v>40</v>
      </c>
      <c r="F180" s="3">
        <f>+C180*6</f>
        <v>60</v>
      </c>
    </row>
    <row r="181" spans="2:6" x14ac:dyDescent="0.2">
      <c r="E181" s="118">
        <f>+C180*5</f>
        <v>50</v>
      </c>
    </row>
  </sheetData>
  <mergeCells count="2">
    <mergeCell ref="G1:I1"/>
    <mergeCell ref="G98:H98"/>
  </mergeCells>
  <conditionalFormatting sqref="J1:J3 K4:K5 J6:J66 K7:K11 J69:J93 J95:J141 J159:J1048576">
    <cfRule type="containsText" dxfId="3" priority="4" operator="containsText" text="correct">
      <formula>NOT(ISERROR(SEARCH("correct",J1)))</formula>
    </cfRule>
  </conditionalFormatting>
  <conditionalFormatting sqref="J6:J66 J1:J3 K4:K5 K7:K11 J69:J93 J95:J141 J159:J1048576">
    <cfRule type="containsText" dxfId="2" priority="3" operator="containsText" text="does not agree">
      <formula>NOT(ISERROR(SEARCH("does not agree",J1)))</formula>
    </cfRule>
  </conditionalFormatting>
  <conditionalFormatting sqref="J12">
    <cfRule type="containsText" dxfId="1" priority="1" operator="containsText" text="does not agree">
      <formula>NOT(ISERROR(SEARCH("does not agree",J12)))</formula>
    </cfRule>
    <cfRule type="cellIs" dxfId="0" priority="2" operator="equal">
      <formula>"Does not agree"</formula>
    </cfRule>
  </conditionalFormatting>
  <pageMargins left="0.43307086614173229" right="0.43307086614173229" top="0.74803149606299213" bottom="0.74803149606299213" header="0.31496062992125984" footer="0.31496062992125984"/>
  <pageSetup paperSize="9" scale="1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Perrin</dc:creator>
  <cp:lastModifiedBy>Susan Perrin</cp:lastModifiedBy>
  <dcterms:created xsi:type="dcterms:W3CDTF">2024-09-23T16:34:11Z</dcterms:created>
  <dcterms:modified xsi:type="dcterms:W3CDTF">2024-09-28T16:15:43Z</dcterms:modified>
</cp:coreProperties>
</file>